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8010" activeTab="3"/>
  </bookViews>
  <sheets>
    <sheet name="Sheet1" sheetId="1" r:id="rId1"/>
    <sheet name="Sheet2" sheetId="2" r:id="rId2"/>
    <sheet name="Sheet3" sheetId="3" r:id="rId3"/>
    <sheet name="Sheet4" sheetId="4" r:id="rId4"/>
  </sheets>
  <calcPr calcId="144525"/>
</workbook>
</file>

<file path=xl/sharedStrings.xml><?xml version="1.0" encoding="utf-8"?>
<sst xmlns="http://schemas.openxmlformats.org/spreadsheetml/2006/main" count="3923" uniqueCount="2560">
  <si>
    <t>天心区2022年12月残疾人“两项补贴”审定人员公示（一）</t>
  </si>
  <si>
    <t>编号</t>
  </si>
  <si>
    <t>姓名</t>
  </si>
  <si>
    <t>所属街道</t>
  </si>
  <si>
    <t>所属社区</t>
  </si>
  <si>
    <t>生活补贴</t>
  </si>
  <si>
    <t>护理补贴</t>
  </si>
  <si>
    <t>等级</t>
  </si>
  <si>
    <t>谭*勇</t>
  </si>
  <si>
    <t>谢*娥</t>
  </si>
  <si>
    <t>瞿*</t>
  </si>
  <si>
    <t>杨*明</t>
  </si>
  <si>
    <t>谭*南</t>
  </si>
  <si>
    <t>王*清</t>
  </si>
  <si>
    <t>刘*盈</t>
  </si>
  <si>
    <t>黄*国</t>
  </si>
  <si>
    <t>夏*惠</t>
  </si>
  <si>
    <t>徐*达</t>
  </si>
  <si>
    <t>王*明</t>
  </si>
  <si>
    <t>张*容</t>
  </si>
  <si>
    <t>杨*娥</t>
  </si>
  <si>
    <t>蒋*建</t>
  </si>
  <si>
    <t>杨*珍</t>
  </si>
  <si>
    <t>黎*云</t>
  </si>
  <si>
    <t>严*军</t>
  </si>
  <si>
    <t>何*君</t>
  </si>
  <si>
    <t>李*辉</t>
  </si>
  <si>
    <t>赵*</t>
  </si>
  <si>
    <t>刘*国</t>
  </si>
  <si>
    <t>曲*</t>
  </si>
  <si>
    <t>朱*光</t>
  </si>
  <si>
    <t>雷*玲</t>
  </si>
  <si>
    <t>李*</t>
  </si>
  <si>
    <t>师*湘</t>
  </si>
  <si>
    <t>罗*争</t>
  </si>
  <si>
    <t>黄*平</t>
  </si>
  <si>
    <t>程*平</t>
  </si>
  <si>
    <t>朱*年</t>
  </si>
  <si>
    <t>杨*民</t>
  </si>
  <si>
    <t>陈*玲</t>
  </si>
  <si>
    <t>严*兵</t>
  </si>
  <si>
    <t>曹*</t>
  </si>
  <si>
    <t>文*武</t>
  </si>
  <si>
    <t>傅*治</t>
  </si>
  <si>
    <t>赵*华</t>
  </si>
  <si>
    <t>周*泉</t>
  </si>
  <si>
    <t>卞*平</t>
  </si>
  <si>
    <t>魏*</t>
  </si>
  <si>
    <t>常*民</t>
  </si>
  <si>
    <t>刘*莲</t>
  </si>
  <si>
    <t>曾*珍</t>
  </si>
  <si>
    <t>欧*金秀</t>
  </si>
  <si>
    <t>丁*</t>
  </si>
  <si>
    <t>陈*雄</t>
  </si>
  <si>
    <t>李*华</t>
  </si>
  <si>
    <t>陈*民</t>
  </si>
  <si>
    <t>刘*恒</t>
  </si>
  <si>
    <t>姚*安</t>
  </si>
  <si>
    <t>慈*娃</t>
  </si>
  <si>
    <t>余*霞</t>
  </si>
  <si>
    <t>刘*霞</t>
  </si>
  <si>
    <t>张*四</t>
  </si>
  <si>
    <t>尹*平</t>
  </si>
  <si>
    <t>刘*明</t>
  </si>
  <si>
    <t>胥*</t>
  </si>
  <si>
    <t>李*东</t>
  </si>
  <si>
    <t>鲁*和</t>
  </si>
  <si>
    <t>罗*桃</t>
  </si>
  <si>
    <t>陈*</t>
  </si>
  <si>
    <t>邓*辉</t>
  </si>
  <si>
    <t>黄*</t>
  </si>
  <si>
    <t>吴*监</t>
  </si>
  <si>
    <t>胡*</t>
  </si>
  <si>
    <t>王*良</t>
  </si>
  <si>
    <t>冯*君</t>
  </si>
  <si>
    <t>陈*梅</t>
  </si>
  <si>
    <t>王*</t>
  </si>
  <si>
    <t>刘*辉</t>
  </si>
  <si>
    <t>刘*武</t>
  </si>
  <si>
    <t>周*基</t>
  </si>
  <si>
    <t>周*</t>
  </si>
  <si>
    <t>向*林</t>
  </si>
  <si>
    <t>王*燕</t>
  </si>
  <si>
    <t>宋*香</t>
  </si>
  <si>
    <t>袁*姣</t>
  </si>
  <si>
    <t>熊*明</t>
  </si>
  <si>
    <t>宫*湘</t>
  </si>
  <si>
    <t>易*斌</t>
  </si>
  <si>
    <t>赵*一</t>
  </si>
  <si>
    <t>李*雪</t>
  </si>
  <si>
    <t>李*媛</t>
  </si>
  <si>
    <t>李*鸣</t>
  </si>
  <si>
    <t>杨*春</t>
  </si>
  <si>
    <t>李*期</t>
  </si>
  <si>
    <t>蒋*媛</t>
  </si>
  <si>
    <t>曹*林</t>
  </si>
  <si>
    <t>何*霜</t>
  </si>
  <si>
    <t>李*峰</t>
  </si>
  <si>
    <t>彭*威</t>
  </si>
  <si>
    <t>刘*珍</t>
  </si>
  <si>
    <t>熊*连</t>
  </si>
  <si>
    <t>冯*得</t>
  </si>
  <si>
    <t>肖*芳</t>
  </si>
  <si>
    <t>何*伟</t>
  </si>
  <si>
    <t>陈*夫</t>
  </si>
  <si>
    <t>欧*霈弘</t>
  </si>
  <si>
    <t>杨*纯</t>
  </si>
  <si>
    <t>王*泉</t>
  </si>
  <si>
    <t>文*龙</t>
  </si>
  <si>
    <t>熊*宇</t>
  </si>
  <si>
    <t>张*兰</t>
  </si>
  <si>
    <t>周*屏</t>
  </si>
  <si>
    <t>徐*</t>
  </si>
  <si>
    <t>冯*辉</t>
  </si>
  <si>
    <t>田*勇</t>
  </si>
  <si>
    <t>郑*国</t>
  </si>
  <si>
    <t>邹*和</t>
  </si>
  <si>
    <t>黄*屏</t>
  </si>
  <si>
    <t>熊*君</t>
  </si>
  <si>
    <t>刘*林</t>
  </si>
  <si>
    <t>朱*明</t>
  </si>
  <si>
    <t>张*娥</t>
  </si>
  <si>
    <t>徐*娜</t>
  </si>
  <si>
    <t>庞*仁</t>
  </si>
  <si>
    <t>陈*立</t>
  </si>
  <si>
    <t>彭*</t>
  </si>
  <si>
    <t>谭*</t>
  </si>
  <si>
    <t>向*兴</t>
  </si>
  <si>
    <t>罗*生</t>
  </si>
  <si>
    <t>张*华</t>
  </si>
  <si>
    <t>吴*莲</t>
  </si>
  <si>
    <t>陈*香</t>
  </si>
  <si>
    <t>唐*</t>
  </si>
  <si>
    <t>江*球</t>
  </si>
  <si>
    <t>王*欣</t>
  </si>
  <si>
    <t>朱*</t>
  </si>
  <si>
    <t>池*</t>
  </si>
  <si>
    <t>李*荣</t>
  </si>
  <si>
    <t>王*祥</t>
  </si>
  <si>
    <t>刘*</t>
  </si>
  <si>
    <t>肖*</t>
  </si>
  <si>
    <t>郑*</t>
  </si>
  <si>
    <t>陈*文</t>
  </si>
  <si>
    <t>徐*均</t>
  </si>
  <si>
    <t>杨*芝</t>
  </si>
  <si>
    <t>刘*红</t>
  </si>
  <si>
    <t>张*</t>
  </si>
  <si>
    <t>黄*术</t>
  </si>
  <si>
    <t>刘*君</t>
  </si>
  <si>
    <t>张*英</t>
  </si>
  <si>
    <t>谢*红</t>
  </si>
  <si>
    <t>张*良</t>
  </si>
  <si>
    <t>潘*辉</t>
  </si>
  <si>
    <t>李*梅</t>
  </si>
  <si>
    <t>袁*文</t>
  </si>
  <si>
    <t>胡*骏</t>
  </si>
  <si>
    <t>纪*清</t>
  </si>
  <si>
    <t>卢*禹</t>
  </si>
  <si>
    <t>郑*长</t>
  </si>
  <si>
    <t>陈*轩</t>
  </si>
  <si>
    <t>文*</t>
  </si>
  <si>
    <t>毛*辉</t>
  </si>
  <si>
    <t>刘*娅岚</t>
  </si>
  <si>
    <t>梁*</t>
  </si>
  <si>
    <t>周*程</t>
  </si>
  <si>
    <t>胡*晨</t>
  </si>
  <si>
    <t>柳*睿</t>
  </si>
  <si>
    <t>姜*健</t>
  </si>
  <si>
    <t>金*傜</t>
  </si>
  <si>
    <t>李*灿</t>
  </si>
  <si>
    <t>王*玉</t>
  </si>
  <si>
    <t>黄*仪</t>
  </si>
  <si>
    <t>赵*云</t>
  </si>
  <si>
    <t>唐*军</t>
  </si>
  <si>
    <t>谭*主</t>
  </si>
  <si>
    <t>彭*雄</t>
  </si>
  <si>
    <t>贺*明</t>
  </si>
  <si>
    <t>吴*峰</t>
  </si>
  <si>
    <t>凌*辉</t>
  </si>
  <si>
    <t>沈*龙</t>
  </si>
  <si>
    <t>肖*辉</t>
  </si>
  <si>
    <t>薛*</t>
  </si>
  <si>
    <t>胡*红</t>
  </si>
  <si>
    <t>张*红</t>
  </si>
  <si>
    <t>张*忠</t>
  </si>
  <si>
    <t>邹*珊</t>
  </si>
  <si>
    <t>朱*荣</t>
  </si>
  <si>
    <t>曾*轩</t>
  </si>
  <si>
    <t>夏*军</t>
  </si>
  <si>
    <t>杨*胜</t>
  </si>
  <si>
    <t>蒋*英</t>
  </si>
  <si>
    <t>莫*国</t>
  </si>
  <si>
    <t>吴*云</t>
  </si>
  <si>
    <t>胡*军</t>
  </si>
  <si>
    <t>彭*尹</t>
  </si>
  <si>
    <t>李*安</t>
  </si>
  <si>
    <t>龙*涵</t>
  </si>
  <si>
    <t>何*利</t>
  </si>
  <si>
    <t>刘*弟</t>
  </si>
  <si>
    <t>姜*</t>
  </si>
  <si>
    <t>陈*宇</t>
  </si>
  <si>
    <t>伍*周</t>
  </si>
  <si>
    <t>袁*华</t>
  </si>
  <si>
    <t>莫*蛟</t>
  </si>
  <si>
    <t>郭*军</t>
  </si>
  <si>
    <t>彭*忠</t>
  </si>
  <si>
    <t>唐*设</t>
  </si>
  <si>
    <t>邓*娥</t>
  </si>
  <si>
    <t>龚*</t>
  </si>
  <si>
    <t>成*</t>
  </si>
  <si>
    <t>彭*志</t>
  </si>
  <si>
    <t>毛*保</t>
  </si>
  <si>
    <t>戴*良</t>
  </si>
  <si>
    <t>叶*奇</t>
  </si>
  <si>
    <t>夏*平</t>
  </si>
  <si>
    <t>袁*珍</t>
  </si>
  <si>
    <t>周*功</t>
  </si>
  <si>
    <t>李*晨</t>
  </si>
  <si>
    <t>黄*鄂</t>
  </si>
  <si>
    <t>盛*慧</t>
  </si>
  <si>
    <t>陈*仙</t>
  </si>
  <si>
    <t>湛*辉</t>
  </si>
  <si>
    <t>肖*勇</t>
  </si>
  <si>
    <t>郭*亮</t>
  </si>
  <si>
    <t>梁*明</t>
  </si>
  <si>
    <t>韦*</t>
  </si>
  <si>
    <t>尹*武</t>
  </si>
  <si>
    <t>冉*清</t>
  </si>
  <si>
    <t>罗*如</t>
  </si>
  <si>
    <t>马*泰</t>
  </si>
  <si>
    <t>金*顺</t>
  </si>
  <si>
    <t>陈*高</t>
  </si>
  <si>
    <t>何*昌</t>
  </si>
  <si>
    <t>宋*</t>
  </si>
  <si>
    <t>艾*文</t>
  </si>
  <si>
    <t>黄*明</t>
  </si>
  <si>
    <t>周*然</t>
  </si>
  <si>
    <t>晏*容</t>
  </si>
  <si>
    <t>李*清</t>
  </si>
  <si>
    <t>宁*海</t>
  </si>
  <si>
    <t>曹*娜</t>
  </si>
  <si>
    <t>谢*云</t>
  </si>
  <si>
    <t>罗*权</t>
  </si>
  <si>
    <t>谷*明</t>
  </si>
  <si>
    <t>文*任</t>
  </si>
  <si>
    <t>黄*铭</t>
  </si>
  <si>
    <t>葛*伟</t>
  </si>
  <si>
    <t>伍*</t>
  </si>
  <si>
    <t>唐*友</t>
  </si>
  <si>
    <t>刘*龙</t>
  </si>
  <si>
    <t>王*娜</t>
  </si>
  <si>
    <t>石*琬</t>
  </si>
  <si>
    <t>黄*先</t>
  </si>
  <si>
    <t>易*国</t>
  </si>
  <si>
    <t>龚*湘</t>
  </si>
  <si>
    <t>马*丁</t>
  </si>
  <si>
    <t>郭*</t>
  </si>
  <si>
    <t>张*平</t>
  </si>
  <si>
    <t>王*春</t>
  </si>
  <si>
    <t>谢*清</t>
  </si>
  <si>
    <t>汪*</t>
  </si>
  <si>
    <t>张*元</t>
  </si>
  <si>
    <t>樊*伟</t>
  </si>
  <si>
    <t>宋*勇</t>
  </si>
  <si>
    <t>李*慧</t>
  </si>
  <si>
    <t>杨*成</t>
  </si>
  <si>
    <t>吴*</t>
  </si>
  <si>
    <t>杨*</t>
  </si>
  <si>
    <t>杨*粮</t>
  </si>
  <si>
    <t>李*双</t>
  </si>
  <si>
    <t>彭*普</t>
  </si>
  <si>
    <t>童*喜</t>
  </si>
  <si>
    <t>李*昊</t>
  </si>
  <si>
    <t>彭*宇</t>
  </si>
  <si>
    <t>彭*生</t>
  </si>
  <si>
    <t>吴*林</t>
  </si>
  <si>
    <t>陈*沙</t>
  </si>
  <si>
    <t>李*欣</t>
  </si>
  <si>
    <t>莫*德</t>
  </si>
  <si>
    <t>黄*波</t>
  </si>
  <si>
    <t>谢*兰</t>
  </si>
  <si>
    <t>李*根</t>
  </si>
  <si>
    <t>周*慧</t>
  </si>
  <si>
    <t>崔*荣</t>
  </si>
  <si>
    <t>黄*红</t>
  </si>
  <si>
    <t>汤*山</t>
  </si>
  <si>
    <t>冯*军</t>
  </si>
  <si>
    <t>陈*珍</t>
  </si>
  <si>
    <t>孙*兰</t>
  </si>
  <si>
    <t>苗*</t>
  </si>
  <si>
    <t>张*余</t>
  </si>
  <si>
    <t>晏*</t>
  </si>
  <si>
    <t>赵*寿</t>
  </si>
  <si>
    <t>朱*香</t>
  </si>
  <si>
    <t>邓*莲</t>
  </si>
  <si>
    <t>欧*小令</t>
  </si>
  <si>
    <t>彭*武</t>
  </si>
  <si>
    <t>卢*珊</t>
  </si>
  <si>
    <t>贺*华</t>
  </si>
  <si>
    <t>刘*松</t>
  </si>
  <si>
    <t>唐*敏</t>
  </si>
  <si>
    <t>文*群</t>
  </si>
  <si>
    <t>陈*武</t>
  </si>
  <si>
    <t>谢*溪</t>
  </si>
  <si>
    <t>郑*华</t>
  </si>
  <si>
    <t>沈*云</t>
  </si>
  <si>
    <t>陈*明</t>
  </si>
  <si>
    <t>叶*</t>
  </si>
  <si>
    <t>周*胜</t>
  </si>
  <si>
    <t>古*峰</t>
  </si>
  <si>
    <t>周*涛</t>
  </si>
  <si>
    <t>周*辉</t>
  </si>
  <si>
    <t>年*</t>
  </si>
  <si>
    <t>娄*翔</t>
  </si>
  <si>
    <t>刘*航</t>
  </si>
  <si>
    <t>董*彬</t>
  </si>
  <si>
    <t>李*英</t>
  </si>
  <si>
    <t>唐*青</t>
  </si>
  <si>
    <t>吴*涵</t>
  </si>
  <si>
    <t>谭*梅</t>
  </si>
  <si>
    <t>余*明</t>
  </si>
  <si>
    <t>周*琪</t>
  </si>
  <si>
    <t>刘*云</t>
  </si>
  <si>
    <t>邹*昌</t>
  </si>
  <si>
    <t>宋*立</t>
  </si>
  <si>
    <t>袁*光</t>
  </si>
  <si>
    <t>彭*勇</t>
  </si>
  <si>
    <t>谭*刚</t>
  </si>
  <si>
    <t>潘*</t>
  </si>
  <si>
    <t>彭*凯</t>
  </si>
  <si>
    <t>喻*</t>
  </si>
  <si>
    <t>谢*</t>
  </si>
  <si>
    <t>冉*莹</t>
  </si>
  <si>
    <t>童*明</t>
  </si>
  <si>
    <t>危*莲</t>
  </si>
  <si>
    <t>杨*华</t>
  </si>
  <si>
    <t>张*威</t>
  </si>
  <si>
    <t>张*强</t>
  </si>
  <si>
    <t>张*峰</t>
  </si>
  <si>
    <t>黄*端</t>
  </si>
  <si>
    <t>张*洪</t>
  </si>
  <si>
    <t>周*易</t>
  </si>
  <si>
    <t>周*容</t>
  </si>
  <si>
    <t>晏*晖</t>
  </si>
  <si>
    <t>刘*毅</t>
  </si>
  <si>
    <t>曹*欣</t>
  </si>
  <si>
    <t>何*茗</t>
  </si>
  <si>
    <t>文*山</t>
  </si>
  <si>
    <t>张*珏</t>
  </si>
  <si>
    <t>罗*翔</t>
  </si>
  <si>
    <t>唐*颖</t>
  </si>
  <si>
    <t>钟*云</t>
  </si>
  <si>
    <t>陈*林</t>
  </si>
  <si>
    <t>徐*莲</t>
  </si>
  <si>
    <t>崔*良</t>
  </si>
  <si>
    <t>黄*宇</t>
  </si>
  <si>
    <t>严*怡</t>
  </si>
  <si>
    <t>李*萌</t>
  </si>
  <si>
    <t>盛*霖</t>
  </si>
  <si>
    <t>周*傲</t>
  </si>
  <si>
    <t>谢*安</t>
  </si>
  <si>
    <t>何*阳</t>
  </si>
  <si>
    <t>何*平</t>
  </si>
  <si>
    <t>何*军</t>
  </si>
  <si>
    <t>郭*林</t>
  </si>
  <si>
    <t>李*航</t>
  </si>
  <si>
    <t>戴*京</t>
  </si>
  <si>
    <t>王*阳</t>
  </si>
  <si>
    <t>李*祺</t>
  </si>
  <si>
    <t>安*洲</t>
  </si>
  <si>
    <t>赵*栋</t>
  </si>
  <si>
    <t>谢*茜</t>
  </si>
  <si>
    <t>肖*文</t>
  </si>
  <si>
    <t>黄*钰</t>
  </si>
  <si>
    <t>孔*</t>
  </si>
  <si>
    <t>黄*盛</t>
  </si>
  <si>
    <t>陈*丹</t>
  </si>
  <si>
    <t>张*盛</t>
  </si>
  <si>
    <t>黄*纯</t>
  </si>
  <si>
    <t>于*林</t>
  </si>
  <si>
    <t>陈*华</t>
  </si>
  <si>
    <t>赵*秀</t>
  </si>
  <si>
    <t>周*纯</t>
  </si>
  <si>
    <t>幸*纯</t>
  </si>
  <si>
    <t>杨*达</t>
  </si>
  <si>
    <t>张*信</t>
  </si>
  <si>
    <t>刘*南</t>
  </si>
  <si>
    <t>刘*波</t>
  </si>
  <si>
    <t>杨*学</t>
  </si>
  <si>
    <t>唐*兰</t>
  </si>
  <si>
    <t>莫*华</t>
  </si>
  <si>
    <t>刘*山</t>
  </si>
  <si>
    <t>谭*曾</t>
  </si>
  <si>
    <t>吴*芝</t>
  </si>
  <si>
    <t>李*云</t>
  </si>
  <si>
    <t>张*生</t>
  </si>
  <si>
    <t>程*兰</t>
  </si>
  <si>
    <t>刘*良</t>
  </si>
  <si>
    <t>王*辉</t>
  </si>
  <si>
    <t>李*雄</t>
  </si>
  <si>
    <t>金*人</t>
  </si>
  <si>
    <t>卿*强</t>
  </si>
  <si>
    <t>方*平</t>
  </si>
  <si>
    <t>吴*平</t>
  </si>
  <si>
    <t>胡*辉</t>
  </si>
  <si>
    <t>马*君</t>
  </si>
  <si>
    <t>廖*强</t>
  </si>
  <si>
    <t>唐*斌</t>
  </si>
  <si>
    <t>田*</t>
  </si>
  <si>
    <t>叶*勇</t>
  </si>
  <si>
    <t>谭*平</t>
  </si>
  <si>
    <t>李*诚</t>
  </si>
  <si>
    <t>文*清</t>
  </si>
  <si>
    <t>周*军</t>
  </si>
  <si>
    <t>辜*武</t>
  </si>
  <si>
    <t>汤*建</t>
  </si>
  <si>
    <t>王*红</t>
  </si>
  <si>
    <t>凌*军</t>
  </si>
  <si>
    <t>邹*</t>
  </si>
  <si>
    <t>贺*</t>
  </si>
  <si>
    <t>曾*</t>
  </si>
  <si>
    <t>吴*琴</t>
  </si>
  <si>
    <t>袁*平</t>
  </si>
  <si>
    <t>黄*钦</t>
  </si>
  <si>
    <t>黄*君</t>
  </si>
  <si>
    <t>李*祥</t>
  </si>
  <si>
    <t>段*杰</t>
  </si>
  <si>
    <t>张*怡</t>
  </si>
  <si>
    <t>何*</t>
  </si>
  <si>
    <t>吴*章</t>
  </si>
  <si>
    <t>刘*雄</t>
  </si>
  <si>
    <t>刘*俊</t>
  </si>
  <si>
    <t>黄*博</t>
  </si>
  <si>
    <t>黄*冬</t>
  </si>
  <si>
    <t>叶*伟</t>
  </si>
  <si>
    <t>曾*健</t>
  </si>
  <si>
    <t>胡*娜</t>
  </si>
  <si>
    <t>郭*鑫</t>
  </si>
  <si>
    <t>唐*胜</t>
  </si>
  <si>
    <t>龙*亮</t>
  </si>
  <si>
    <t>张*钦</t>
  </si>
  <si>
    <t>张*欣</t>
  </si>
  <si>
    <t>张*芳</t>
  </si>
  <si>
    <t>周*民</t>
  </si>
  <si>
    <t>黎*</t>
  </si>
  <si>
    <t>李*良</t>
  </si>
  <si>
    <t>周*红</t>
  </si>
  <si>
    <t>向*萍</t>
  </si>
  <si>
    <t>冯*新</t>
  </si>
  <si>
    <t>谭*庆</t>
  </si>
  <si>
    <t>徐*章</t>
  </si>
  <si>
    <t>石*</t>
  </si>
  <si>
    <t>张*群</t>
  </si>
  <si>
    <t>陈*君</t>
  </si>
  <si>
    <t>吴*军</t>
  </si>
  <si>
    <t>曹*军</t>
  </si>
  <si>
    <t>罗*英</t>
  </si>
  <si>
    <t>唐*恕</t>
  </si>
  <si>
    <t>龙*翔</t>
  </si>
  <si>
    <t>苏*翘</t>
  </si>
  <si>
    <t>王*凡</t>
  </si>
  <si>
    <t>佘*</t>
  </si>
  <si>
    <t>罗*</t>
  </si>
  <si>
    <t>邓*平</t>
  </si>
  <si>
    <t>张*海</t>
  </si>
  <si>
    <t>杨*其</t>
  </si>
  <si>
    <t>邹*义</t>
  </si>
  <si>
    <t>许*甜</t>
  </si>
  <si>
    <t>唐*云</t>
  </si>
  <si>
    <t>刘*霆</t>
  </si>
  <si>
    <t>邵*涵</t>
  </si>
  <si>
    <t>陈*瑞</t>
  </si>
  <si>
    <t>刘*宾</t>
  </si>
  <si>
    <t>廖*琪</t>
  </si>
  <si>
    <t>田*山</t>
  </si>
  <si>
    <t>唐*瑶</t>
  </si>
  <si>
    <t>陈*霖</t>
  </si>
  <si>
    <t>谢*琳</t>
  </si>
  <si>
    <t>赵*初</t>
  </si>
  <si>
    <t>邓*兰</t>
  </si>
  <si>
    <t>彭*珍</t>
  </si>
  <si>
    <t>左*琼</t>
  </si>
  <si>
    <t>杜*杰</t>
  </si>
  <si>
    <t>王*聘</t>
  </si>
  <si>
    <t>袁*</t>
  </si>
  <si>
    <t>张*荣</t>
  </si>
  <si>
    <t>单*翔</t>
  </si>
  <si>
    <t>肖*军</t>
  </si>
  <si>
    <t>常*</t>
  </si>
  <si>
    <t>于*</t>
  </si>
  <si>
    <t>郭*语</t>
  </si>
  <si>
    <t>刘*仪</t>
  </si>
  <si>
    <t>彭*喆</t>
  </si>
  <si>
    <t>文*泉</t>
  </si>
  <si>
    <t>郑*元</t>
  </si>
  <si>
    <t>邹*良</t>
  </si>
  <si>
    <t>周*君</t>
  </si>
  <si>
    <t>王*昊</t>
  </si>
  <si>
    <t>杨*璇</t>
  </si>
  <si>
    <t>陈*兰</t>
  </si>
  <si>
    <t>严*</t>
  </si>
  <si>
    <t>李*花</t>
  </si>
  <si>
    <t>刘*军</t>
  </si>
  <si>
    <t>沈*豪</t>
  </si>
  <si>
    <t>戴*蕾</t>
  </si>
  <si>
    <t>喻*婷</t>
  </si>
  <si>
    <t>张*俊</t>
  </si>
  <si>
    <t>马*航</t>
  </si>
  <si>
    <t>朱*玲</t>
  </si>
  <si>
    <t>张*清</t>
  </si>
  <si>
    <t>伍*民</t>
  </si>
  <si>
    <t>易*先</t>
  </si>
  <si>
    <t>汪*清</t>
  </si>
  <si>
    <t>谢*双</t>
  </si>
  <si>
    <t>田*敏</t>
  </si>
  <si>
    <t>虢*元</t>
  </si>
  <si>
    <t>谢*玲</t>
  </si>
  <si>
    <t>谭*义</t>
  </si>
  <si>
    <t>彭*强</t>
  </si>
  <si>
    <t>丁*毛</t>
  </si>
  <si>
    <t>杨*平</t>
  </si>
  <si>
    <t>胡*泉</t>
  </si>
  <si>
    <t>谭*雄</t>
  </si>
  <si>
    <t>许*斌</t>
  </si>
  <si>
    <t>骆*文</t>
  </si>
  <si>
    <t>张*歆</t>
  </si>
  <si>
    <t>吴*安</t>
  </si>
  <si>
    <t>何*萍</t>
  </si>
  <si>
    <t>汤*立</t>
  </si>
  <si>
    <t>王*权</t>
  </si>
  <si>
    <t>吴*桃</t>
  </si>
  <si>
    <t>丁*峰</t>
  </si>
  <si>
    <t>王*伟</t>
  </si>
  <si>
    <t>沈*婵</t>
  </si>
  <si>
    <t>吴*舟</t>
  </si>
  <si>
    <t>戴*虹</t>
  </si>
  <si>
    <t>曾*红</t>
  </si>
  <si>
    <t>温*华</t>
  </si>
  <si>
    <t>欧*寿</t>
  </si>
  <si>
    <t>谢*平</t>
  </si>
  <si>
    <t>肖*一</t>
  </si>
  <si>
    <t>何*莲</t>
  </si>
  <si>
    <t>彭*友</t>
  </si>
  <si>
    <t>温*</t>
  </si>
  <si>
    <t>朱*生</t>
  </si>
  <si>
    <t>刘*斌</t>
  </si>
  <si>
    <t>王*华</t>
  </si>
  <si>
    <t>唐*欢</t>
  </si>
  <si>
    <t>杨*英</t>
  </si>
  <si>
    <t>蔡*琳</t>
  </si>
  <si>
    <t>谢*芳</t>
  </si>
  <si>
    <t>王*智</t>
  </si>
  <si>
    <t>张*云</t>
  </si>
  <si>
    <t>彭*军</t>
  </si>
  <si>
    <t>唐*伍</t>
  </si>
  <si>
    <t>向*梅</t>
  </si>
  <si>
    <t>程*</t>
  </si>
  <si>
    <t>易*娥</t>
  </si>
  <si>
    <t>金*</t>
  </si>
  <si>
    <t>莫*军</t>
  </si>
  <si>
    <t>易*明</t>
  </si>
  <si>
    <t>戴*</t>
  </si>
  <si>
    <t>何*亮</t>
  </si>
  <si>
    <t>彭*云</t>
  </si>
  <si>
    <t>黄*亮</t>
  </si>
  <si>
    <t>韦*华</t>
  </si>
  <si>
    <t>廖*胜</t>
  </si>
  <si>
    <t>肖*璐</t>
  </si>
  <si>
    <t>周*靓</t>
  </si>
  <si>
    <t>李*萍</t>
  </si>
  <si>
    <t>廖*华</t>
  </si>
  <si>
    <t>何*麓</t>
  </si>
  <si>
    <t>张*义</t>
  </si>
  <si>
    <t>余*平</t>
  </si>
  <si>
    <t>连*泉</t>
  </si>
  <si>
    <t>谢*珠</t>
  </si>
  <si>
    <t>罗*媛</t>
  </si>
  <si>
    <t>杨*兰</t>
  </si>
  <si>
    <t>张*干</t>
  </si>
  <si>
    <t>谭*莲</t>
  </si>
  <si>
    <t>袁*兰</t>
  </si>
  <si>
    <t>欧*英</t>
  </si>
  <si>
    <t>张*秀</t>
  </si>
  <si>
    <t>张*松</t>
  </si>
  <si>
    <t>彭*波</t>
  </si>
  <si>
    <t>陶*晖</t>
  </si>
  <si>
    <t>谭*宇</t>
  </si>
  <si>
    <t>邓*清</t>
  </si>
  <si>
    <t>田*建</t>
  </si>
  <si>
    <t>周*宇</t>
  </si>
  <si>
    <t>余*英</t>
  </si>
  <si>
    <t>石*文</t>
  </si>
  <si>
    <t>陈*汉</t>
  </si>
  <si>
    <t>常*满</t>
  </si>
  <si>
    <t>姜*强</t>
  </si>
  <si>
    <t>周*湘</t>
  </si>
  <si>
    <t>谢*羽</t>
  </si>
  <si>
    <t>向*辉</t>
  </si>
  <si>
    <t>谭*宣</t>
  </si>
  <si>
    <t>张*轩</t>
  </si>
  <si>
    <t>董*希</t>
  </si>
  <si>
    <t>黎*纯</t>
  </si>
  <si>
    <t>赵*珍</t>
  </si>
  <si>
    <t>彭*辉</t>
  </si>
  <si>
    <t>宋*明</t>
  </si>
  <si>
    <t>李*武</t>
  </si>
  <si>
    <t>贺*茗</t>
  </si>
  <si>
    <t>黄*群</t>
  </si>
  <si>
    <t>陶*</t>
  </si>
  <si>
    <t>欧*武</t>
  </si>
  <si>
    <t>王*海</t>
  </si>
  <si>
    <t>彭*莲</t>
  </si>
  <si>
    <t>易*兰</t>
  </si>
  <si>
    <t>王*财</t>
  </si>
  <si>
    <t>周*望</t>
  </si>
  <si>
    <t>杨*梅</t>
  </si>
  <si>
    <t>邓*</t>
  </si>
  <si>
    <t>王*娟</t>
  </si>
  <si>
    <t>张*国</t>
  </si>
  <si>
    <t>蔡*颖</t>
  </si>
  <si>
    <t>何*莹</t>
  </si>
  <si>
    <t>杨*兴</t>
  </si>
  <si>
    <t>游*然</t>
  </si>
  <si>
    <t>蒋*杨</t>
  </si>
  <si>
    <t>柳*哲</t>
  </si>
  <si>
    <t>文*娥</t>
  </si>
  <si>
    <t>雷*芳</t>
  </si>
  <si>
    <t>虢*桃</t>
  </si>
  <si>
    <t>陶*贤</t>
  </si>
  <si>
    <t>伍*茹</t>
  </si>
  <si>
    <t>曹*香</t>
  </si>
  <si>
    <t>谭*庚</t>
  </si>
  <si>
    <t>张*军</t>
  </si>
  <si>
    <t>金*仕</t>
  </si>
  <si>
    <t>谭*利</t>
  </si>
  <si>
    <t>钟*平</t>
  </si>
  <si>
    <t>陈*益</t>
  </si>
  <si>
    <t>汤*明</t>
  </si>
  <si>
    <t>晏*秀</t>
  </si>
  <si>
    <t>邹*云</t>
  </si>
  <si>
    <t>严*懿</t>
  </si>
  <si>
    <t>郑*轩</t>
  </si>
  <si>
    <t>杨*熠</t>
  </si>
  <si>
    <t>陈*年</t>
  </si>
  <si>
    <t>彭*初</t>
  </si>
  <si>
    <t>蔡*元</t>
  </si>
  <si>
    <t>李*珍</t>
  </si>
  <si>
    <t>彭*兴</t>
  </si>
  <si>
    <t>唐*林</t>
  </si>
  <si>
    <t>代*华</t>
  </si>
  <si>
    <t>唐*明</t>
  </si>
  <si>
    <t>李*元</t>
  </si>
  <si>
    <t>黄*元</t>
  </si>
  <si>
    <t>吴*刚</t>
  </si>
  <si>
    <t>谭*民</t>
  </si>
  <si>
    <t>邱*</t>
  </si>
  <si>
    <t>吴*花</t>
  </si>
  <si>
    <t>苏*婵</t>
  </si>
  <si>
    <t>段*</t>
  </si>
  <si>
    <t>欧*安</t>
  </si>
  <si>
    <t>李*香</t>
  </si>
  <si>
    <t>朱*华</t>
  </si>
  <si>
    <t>许*军</t>
  </si>
  <si>
    <t>欧*奇军</t>
  </si>
  <si>
    <t>谢*林</t>
  </si>
  <si>
    <t>周*春</t>
  </si>
  <si>
    <t>谢*南</t>
  </si>
  <si>
    <t>柴*梅</t>
  </si>
  <si>
    <t>胡*宇</t>
  </si>
  <si>
    <t>钟*元</t>
  </si>
  <si>
    <t>周*香</t>
  </si>
  <si>
    <t>夏*</t>
  </si>
  <si>
    <t>谢*军</t>
  </si>
  <si>
    <t>何*英</t>
  </si>
  <si>
    <t>陈*力</t>
  </si>
  <si>
    <t>王*炼</t>
  </si>
  <si>
    <t>许*兴</t>
  </si>
  <si>
    <t>罗*兰</t>
  </si>
  <si>
    <t>刘*娟</t>
  </si>
  <si>
    <t>张*泉</t>
  </si>
  <si>
    <t>曾*涛</t>
  </si>
  <si>
    <t>宋*辉</t>
  </si>
  <si>
    <t>贺*秀</t>
  </si>
  <si>
    <t>吴*珍</t>
  </si>
  <si>
    <t>宋*华</t>
  </si>
  <si>
    <t>李*权</t>
  </si>
  <si>
    <t>高*玉</t>
  </si>
  <si>
    <t>方*荣</t>
  </si>
  <si>
    <t>李*泉</t>
  </si>
  <si>
    <t>唐*姣</t>
  </si>
  <si>
    <t>吴*华</t>
  </si>
  <si>
    <t>谭*玲</t>
  </si>
  <si>
    <t>汤*元</t>
  </si>
  <si>
    <t>刘*华</t>
  </si>
  <si>
    <t>潘*胜</t>
  </si>
  <si>
    <t>汤*瑞</t>
  </si>
  <si>
    <t>蔡*鸿</t>
  </si>
  <si>
    <t>吴*骏</t>
  </si>
  <si>
    <t>唐*翔</t>
  </si>
  <si>
    <t>袁*玲</t>
  </si>
  <si>
    <t>黄*卓</t>
  </si>
  <si>
    <t>吴*睿</t>
  </si>
  <si>
    <t>钱*艳</t>
  </si>
  <si>
    <t>姜*芳</t>
  </si>
  <si>
    <t>文*林</t>
  </si>
  <si>
    <t>刘*江</t>
  </si>
  <si>
    <t>王*毛</t>
  </si>
  <si>
    <t>陆*胜</t>
  </si>
  <si>
    <t>陈*良</t>
  </si>
  <si>
    <t>谭*芳</t>
  </si>
  <si>
    <t>张*奇</t>
  </si>
  <si>
    <t>刘*范</t>
  </si>
  <si>
    <t>张*香</t>
  </si>
  <si>
    <t>黎*梅</t>
  </si>
  <si>
    <t>廖*荃</t>
  </si>
  <si>
    <t>吴*文</t>
  </si>
  <si>
    <t>韩*龙</t>
  </si>
  <si>
    <t>冯*</t>
  </si>
  <si>
    <t>盛*林</t>
  </si>
  <si>
    <t>罗*安</t>
  </si>
  <si>
    <t>张*辉</t>
  </si>
  <si>
    <t>任*</t>
  </si>
  <si>
    <t>熊*华</t>
  </si>
  <si>
    <t>黄*斌</t>
  </si>
  <si>
    <t>罗*怀</t>
  </si>
  <si>
    <t>许*进</t>
  </si>
  <si>
    <t>周*超</t>
  </si>
  <si>
    <t>徐*伟</t>
  </si>
  <si>
    <t>胡*刚</t>
  </si>
  <si>
    <t>廖*</t>
  </si>
  <si>
    <t>章*</t>
  </si>
  <si>
    <t>邹*英</t>
  </si>
  <si>
    <t>师*林</t>
  </si>
  <si>
    <t>杨*觅</t>
  </si>
  <si>
    <t>陈*祥</t>
  </si>
  <si>
    <t>王*缓</t>
  </si>
  <si>
    <t>黄*赤</t>
  </si>
  <si>
    <t>韩*安</t>
  </si>
  <si>
    <t>吴*晓</t>
  </si>
  <si>
    <t>黄*华</t>
  </si>
  <si>
    <t>骆*强</t>
  </si>
  <si>
    <t>范*襄</t>
  </si>
  <si>
    <t>曹*良</t>
  </si>
  <si>
    <t>梁*庭</t>
  </si>
  <si>
    <t>沈*芳</t>
  </si>
  <si>
    <t>李*林</t>
  </si>
  <si>
    <t>伍*义</t>
  </si>
  <si>
    <t>高*</t>
  </si>
  <si>
    <t>蔡*兴</t>
  </si>
  <si>
    <t>孙*</t>
  </si>
  <si>
    <t>蒋*霞</t>
  </si>
  <si>
    <t>唐*红</t>
  </si>
  <si>
    <t>彭*光</t>
  </si>
  <si>
    <t>宋*湘</t>
  </si>
  <si>
    <t>张*化</t>
  </si>
  <si>
    <t>傅*翠</t>
  </si>
  <si>
    <t>游*辉</t>
  </si>
  <si>
    <t>黄*新</t>
  </si>
  <si>
    <t>李*胜</t>
  </si>
  <si>
    <t>祖*萍</t>
  </si>
  <si>
    <t>袁*球</t>
  </si>
  <si>
    <t>周*进</t>
  </si>
  <si>
    <t>易*燕</t>
  </si>
  <si>
    <t>向*</t>
  </si>
  <si>
    <t>刘*群</t>
  </si>
  <si>
    <t>韩*</t>
  </si>
  <si>
    <t>胡*雄</t>
  </si>
  <si>
    <t>周*英</t>
  </si>
  <si>
    <t>彭*林</t>
  </si>
  <si>
    <t>苏*夫</t>
  </si>
  <si>
    <t>范*娟</t>
  </si>
  <si>
    <t>曾*军</t>
  </si>
  <si>
    <t>张*曼</t>
  </si>
  <si>
    <t>苏*</t>
  </si>
  <si>
    <t>常*辉</t>
  </si>
  <si>
    <t>马*妮</t>
  </si>
  <si>
    <t>蒋*山</t>
  </si>
  <si>
    <t>易*元</t>
  </si>
  <si>
    <t>冷*林</t>
  </si>
  <si>
    <t>徐*晖</t>
  </si>
  <si>
    <t>曾*全</t>
  </si>
  <si>
    <t>王*斌</t>
  </si>
  <si>
    <t>郭*芝</t>
  </si>
  <si>
    <t>叶*莲</t>
  </si>
  <si>
    <t>陈*应</t>
  </si>
  <si>
    <t>王*思</t>
  </si>
  <si>
    <t>周*霖</t>
  </si>
  <si>
    <t>潘*亮</t>
  </si>
  <si>
    <t>陈*望</t>
  </si>
  <si>
    <t>谭*希</t>
  </si>
  <si>
    <t>聂*桂</t>
  </si>
  <si>
    <t>易*清</t>
  </si>
  <si>
    <t>易*坤</t>
  </si>
  <si>
    <t>蒋*华</t>
  </si>
  <si>
    <t>吴*伟</t>
  </si>
  <si>
    <t>魏*宇</t>
  </si>
  <si>
    <t>万*</t>
  </si>
  <si>
    <t>熊*</t>
  </si>
  <si>
    <t>潘*朝</t>
  </si>
  <si>
    <t>李*彰</t>
  </si>
  <si>
    <t>易*</t>
  </si>
  <si>
    <t>黄*瀚</t>
  </si>
  <si>
    <t>谭*俭</t>
  </si>
  <si>
    <t>梁*清</t>
  </si>
  <si>
    <t>李*明</t>
  </si>
  <si>
    <t>宋*懿</t>
  </si>
  <si>
    <t>甘*强</t>
  </si>
  <si>
    <t>周*熙</t>
  </si>
  <si>
    <t>胡*锦</t>
  </si>
  <si>
    <t>陈*姣</t>
  </si>
  <si>
    <t>袁*清</t>
  </si>
  <si>
    <t>涂*冬</t>
  </si>
  <si>
    <t>吴*荣</t>
  </si>
  <si>
    <t>常*明</t>
  </si>
  <si>
    <t>许*嘉</t>
  </si>
  <si>
    <t>周*杰</t>
  </si>
  <si>
    <t>严*京</t>
  </si>
  <si>
    <t>曾*祥</t>
  </si>
  <si>
    <t>杨*安</t>
  </si>
  <si>
    <t>熊*强</t>
  </si>
  <si>
    <t>刘*庆</t>
  </si>
  <si>
    <t>邹*强</t>
  </si>
  <si>
    <t>周*先</t>
  </si>
  <si>
    <t>徐*文</t>
  </si>
  <si>
    <t>黄*珍</t>
  </si>
  <si>
    <t>唐*国</t>
  </si>
  <si>
    <t>王*平</t>
  </si>
  <si>
    <t>黄*凯</t>
  </si>
  <si>
    <t>康*利</t>
  </si>
  <si>
    <t>张*霞</t>
  </si>
  <si>
    <t>杨*德</t>
  </si>
  <si>
    <t>彭*祥</t>
  </si>
  <si>
    <t>骆*良</t>
  </si>
  <si>
    <t>周*元</t>
  </si>
  <si>
    <t>杜*</t>
  </si>
  <si>
    <t>胡*鸿</t>
  </si>
  <si>
    <t>赵*君</t>
  </si>
  <si>
    <t>宋*全</t>
  </si>
  <si>
    <t>廖*元</t>
  </si>
  <si>
    <t>李*篪</t>
  </si>
  <si>
    <t>曾*琼</t>
  </si>
  <si>
    <t>金*文</t>
  </si>
  <si>
    <t>余*锋</t>
  </si>
  <si>
    <t>艾*建</t>
  </si>
  <si>
    <t>朱*军</t>
  </si>
  <si>
    <t>陈*平</t>
  </si>
  <si>
    <t>雷*南</t>
  </si>
  <si>
    <t>王*放</t>
  </si>
  <si>
    <t>黄*林</t>
  </si>
  <si>
    <t>谭*英</t>
  </si>
  <si>
    <t>柳*和</t>
  </si>
  <si>
    <t>邵*</t>
  </si>
  <si>
    <t>周*煜</t>
  </si>
  <si>
    <t>危*娥</t>
  </si>
  <si>
    <t>刘*祥</t>
  </si>
  <si>
    <t>凌*民</t>
  </si>
  <si>
    <t>敖*军</t>
  </si>
  <si>
    <t>赵*平</t>
  </si>
  <si>
    <t>唐*陆</t>
  </si>
  <si>
    <t>张*珍</t>
  </si>
  <si>
    <t>黄*美</t>
  </si>
  <si>
    <t>蔡*良</t>
  </si>
  <si>
    <t>唐*波</t>
  </si>
  <si>
    <t>张*略</t>
  </si>
  <si>
    <t>周*如</t>
  </si>
  <si>
    <t>黄*生</t>
  </si>
  <si>
    <t>陈*利</t>
  </si>
  <si>
    <t>吴*志</t>
  </si>
  <si>
    <t>徐*敏</t>
  </si>
  <si>
    <t>佘*泉</t>
  </si>
  <si>
    <t>黄*秋</t>
  </si>
  <si>
    <t>熊*章</t>
  </si>
  <si>
    <t>彭*华</t>
  </si>
  <si>
    <t>唐*仁</t>
  </si>
  <si>
    <t>甘*芳</t>
  </si>
  <si>
    <t>陈*云</t>
  </si>
  <si>
    <t>宋*强</t>
  </si>
  <si>
    <t>沈*</t>
  </si>
  <si>
    <t>王*德</t>
  </si>
  <si>
    <t>何*愚</t>
  </si>
  <si>
    <t>周*志</t>
  </si>
  <si>
    <t>龙*</t>
  </si>
  <si>
    <t>温*林</t>
  </si>
  <si>
    <t>任*庆</t>
  </si>
  <si>
    <t>杨*生</t>
  </si>
  <si>
    <t>杨*满</t>
  </si>
  <si>
    <t>许*源</t>
  </si>
  <si>
    <t>金*妹</t>
  </si>
  <si>
    <t>姚*平</t>
  </si>
  <si>
    <t>肖*强</t>
  </si>
  <si>
    <t>刘*进</t>
  </si>
  <si>
    <t>黄*帆</t>
  </si>
  <si>
    <t>操*屏</t>
  </si>
  <si>
    <t>薛*平</t>
  </si>
  <si>
    <t>王*柳</t>
  </si>
  <si>
    <t>刘*泳</t>
  </si>
  <si>
    <t>涂*财</t>
  </si>
  <si>
    <t>刘*文</t>
  </si>
  <si>
    <t>莫*文</t>
  </si>
  <si>
    <t>彭*吾</t>
  </si>
  <si>
    <t>严*红</t>
  </si>
  <si>
    <t>韩*京</t>
  </si>
  <si>
    <t>彭*伟</t>
  </si>
  <si>
    <t>吴*萍</t>
  </si>
  <si>
    <t>赵*祥</t>
  </si>
  <si>
    <t>潘*燕</t>
  </si>
  <si>
    <t>张*筠</t>
  </si>
  <si>
    <t>罗*柏</t>
  </si>
  <si>
    <t>邹*春</t>
  </si>
  <si>
    <t>袁*农</t>
  </si>
  <si>
    <t>粟*强</t>
  </si>
  <si>
    <t>祖*清</t>
  </si>
  <si>
    <t>肖*莲</t>
  </si>
  <si>
    <t>陆*娥</t>
  </si>
  <si>
    <t>蒋*红</t>
  </si>
  <si>
    <t>王*杰</t>
  </si>
  <si>
    <t>杨*亮</t>
  </si>
  <si>
    <t>罗*钰</t>
  </si>
  <si>
    <t>杨*群</t>
  </si>
  <si>
    <t>邓*云</t>
  </si>
  <si>
    <t xml:space="preserve"> 天心区2022年12月残疾人“两项补贴”审定人员公示（二）</t>
  </si>
  <si>
    <t>李*其</t>
  </si>
  <si>
    <t>李*冬</t>
  </si>
  <si>
    <t>贺*芬</t>
  </si>
  <si>
    <t>汪*容</t>
  </si>
  <si>
    <t>张*纯</t>
  </si>
  <si>
    <t>刘*根</t>
  </si>
  <si>
    <t>张*书</t>
  </si>
  <si>
    <t>陈*发</t>
  </si>
  <si>
    <t>梅*立</t>
  </si>
  <si>
    <t>胡*华</t>
  </si>
  <si>
    <t>周*德</t>
  </si>
  <si>
    <t>陈*定</t>
  </si>
  <si>
    <t>王*珍</t>
  </si>
  <si>
    <t>陈*月</t>
  </si>
  <si>
    <t>罗*魁</t>
  </si>
  <si>
    <t>汪*兰</t>
  </si>
  <si>
    <t>谢*珍</t>
  </si>
  <si>
    <t>周*全</t>
  </si>
  <si>
    <t>雷*华</t>
  </si>
  <si>
    <t>康*秋</t>
  </si>
  <si>
    <t>黄*龙</t>
  </si>
  <si>
    <t>徐*丽</t>
  </si>
  <si>
    <t>申*坤</t>
  </si>
  <si>
    <t>吴*玲</t>
  </si>
  <si>
    <t>谭*群</t>
  </si>
  <si>
    <t>石*林</t>
  </si>
  <si>
    <t>彭*成</t>
  </si>
  <si>
    <t>任*华</t>
  </si>
  <si>
    <t>王*贞</t>
  </si>
  <si>
    <t>陈*康</t>
  </si>
  <si>
    <t>宋*莲</t>
  </si>
  <si>
    <t>鲍*安</t>
  </si>
  <si>
    <t>顾*荣</t>
  </si>
  <si>
    <t>杨*止</t>
  </si>
  <si>
    <t>童*军</t>
  </si>
  <si>
    <t>胡*春</t>
  </si>
  <si>
    <t>李*兰</t>
  </si>
  <si>
    <t>胡*玲</t>
  </si>
  <si>
    <t>艾*军</t>
  </si>
  <si>
    <t>余*忠</t>
  </si>
  <si>
    <t>汤*强</t>
  </si>
  <si>
    <t>唐*芝</t>
  </si>
  <si>
    <t>邹*香</t>
  </si>
  <si>
    <t>马*毛</t>
  </si>
  <si>
    <t>冯*奇</t>
  </si>
  <si>
    <t>王*力</t>
  </si>
  <si>
    <t>言*明</t>
  </si>
  <si>
    <t>黄*仁</t>
  </si>
  <si>
    <t>彭*群</t>
  </si>
  <si>
    <t>任*龙</t>
  </si>
  <si>
    <t>冯*真</t>
  </si>
  <si>
    <t>张*宇</t>
  </si>
  <si>
    <t>高*滋</t>
  </si>
  <si>
    <t>江*英</t>
  </si>
  <si>
    <t>陈*勇</t>
  </si>
  <si>
    <t>朱*而</t>
  </si>
  <si>
    <t>许*利</t>
  </si>
  <si>
    <t>李*娥</t>
  </si>
  <si>
    <t>张*柱</t>
  </si>
  <si>
    <t>黄*清</t>
  </si>
  <si>
    <t>黄*贵</t>
  </si>
  <si>
    <t>彭*安</t>
  </si>
  <si>
    <t>江*湘</t>
  </si>
  <si>
    <t>张*源</t>
  </si>
  <si>
    <t>谭*元</t>
  </si>
  <si>
    <t>刘*兰</t>
  </si>
  <si>
    <t>文*利</t>
  </si>
  <si>
    <t>贺*军</t>
  </si>
  <si>
    <t>凌*设</t>
  </si>
  <si>
    <t>戴*莲</t>
  </si>
  <si>
    <t>张*琳</t>
  </si>
  <si>
    <t>许*明</t>
  </si>
  <si>
    <t>匡*堂</t>
  </si>
  <si>
    <t>邹*枚</t>
  </si>
  <si>
    <t>严*其</t>
  </si>
  <si>
    <t>符*</t>
  </si>
  <si>
    <t>王*熙</t>
  </si>
  <si>
    <t>顾*</t>
  </si>
  <si>
    <t>伍*诚</t>
  </si>
  <si>
    <t>彭*作</t>
  </si>
  <si>
    <t>张*莲</t>
  </si>
  <si>
    <t>侯*</t>
  </si>
  <si>
    <t>楚*</t>
  </si>
  <si>
    <t>刘*宇</t>
  </si>
  <si>
    <t>翟*玲</t>
  </si>
  <si>
    <t>姚*</t>
  </si>
  <si>
    <t>林*</t>
  </si>
  <si>
    <t>覃*权</t>
  </si>
  <si>
    <t>刘*知</t>
  </si>
  <si>
    <t>刘*书</t>
  </si>
  <si>
    <t>任*建</t>
  </si>
  <si>
    <t>李*湘</t>
  </si>
  <si>
    <t>黎*林</t>
  </si>
  <si>
    <t>赵*国</t>
  </si>
  <si>
    <t>许*国</t>
  </si>
  <si>
    <t>虞*杨</t>
  </si>
  <si>
    <t>蒋*泽</t>
  </si>
  <si>
    <t>袁*轩</t>
  </si>
  <si>
    <t>李*嘉</t>
  </si>
  <si>
    <t>童*辉</t>
  </si>
  <si>
    <t>赵*纲</t>
  </si>
  <si>
    <t>陈*妹</t>
  </si>
  <si>
    <t>文*云</t>
  </si>
  <si>
    <t>黄*瑛</t>
  </si>
  <si>
    <t>邓*民</t>
  </si>
  <si>
    <t>任*维</t>
  </si>
  <si>
    <t>李*霜</t>
  </si>
  <si>
    <t>何*余</t>
  </si>
  <si>
    <t>宋*春</t>
  </si>
  <si>
    <t>谢*凤</t>
  </si>
  <si>
    <t>吴*明</t>
  </si>
  <si>
    <t>唐*华</t>
  </si>
  <si>
    <t>崔*景</t>
  </si>
  <si>
    <t>孙*达</t>
  </si>
  <si>
    <t>严*兰</t>
  </si>
  <si>
    <t>严*清</t>
  </si>
  <si>
    <t>宋*珍</t>
  </si>
  <si>
    <t>谭*文</t>
  </si>
  <si>
    <t>彭*娥</t>
  </si>
  <si>
    <t>虢*英</t>
  </si>
  <si>
    <t>胡*萍</t>
  </si>
  <si>
    <t>赵*力</t>
  </si>
  <si>
    <t>周*飞</t>
  </si>
  <si>
    <t>陈*泉</t>
  </si>
  <si>
    <t>傅*华</t>
  </si>
  <si>
    <t>李*亚</t>
  </si>
  <si>
    <t>曾*霞</t>
  </si>
  <si>
    <t>刘*成</t>
  </si>
  <si>
    <t>郭*年</t>
  </si>
  <si>
    <t>汤*</t>
  </si>
  <si>
    <t>彭*秀</t>
  </si>
  <si>
    <t>张*琪</t>
  </si>
  <si>
    <t>杨*骏</t>
  </si>
  <si>
    <t>刘*平</t>
  </si>
  <si>
    <t>李*如</t>
  </si>
  <si>
    <t>李*高</t>
  </si>
  <si>
    <t>周*林</t>
  </si>
  <si>
    <t>夏*和</t>
  </si>
  <si>
    <t>肖*连</t>
  </si>
  <si>
    <t>谢*英</t>
  </si>
  <si>
    <t>喻*莉</t>
  </si>
  <si>
    <t>曹*桢</t>
  </si>
  <si>
    <t>严*妹</t>
  </si>
  <si>
    <t>陈*科</t>
  </si>
  <si>
    <t>王*志</t>
  </si>
  <si>
    <t>张*贵</t>
  </si>
  <si>
    <t>白*林</t>
  </si>
  <si>
    <t>唐*交</t>
  </si>
  <si>
    <t>莫*佳</t>
  </si>
  <si>
    <t>游*</t>
  </si>
  <si>
    <t>唐*甫</t>
  </si>
  <si>
    <t>连*</t>
  </si>
  <si>
    <t>姜*科</t>
  </si>
  <si>
    <t>刘*俐</t>
  </si>
  <si>
    <t>刘*娥</t>
  </si>
  <si>
    <t>刘*梅</t>
  </si>
  <si>
    <t>崔*富</t>
  </si>
  <si>
    <t>童*玲</t>
  </si>
  <si>
    <t>刘*齐</t>
  </si>
  <si>
    <t>刘*新</t>
  </si>
  <si>
    <t>刘*生</t>
  </si>
  <si>
    <t>余*仁</t>
  </si>
  <si>
    <t>周*瑜</t>
  </si>
  <si>
    <t>谭*中</t>
  </si>
  <si>
    <t>胡*清</t>
  </si>
  <si>
    <t>胡*姣</t>
  </si>
  <si>
    <t>赖*永</t>
  </si>
  <si>
    <t>王*炎</t>
  </si>
  <si>
    <t>廖*娥</t>
  </si>
  <si>
    <t>姚*霞</t>
  </si>
  <si>
    <t>宋*顺</t>
  </si>
  <si>
    <t>何*宁</t>
  </si>
  <si>
    <t>谢*桂</t>
  </si>
  <si>
    <t>许*武</t>
  </si>
  <si>
    <t>程*彬</t>
  </si>
  <si>
    <t>李*芝</t>
  </si>
  <si>
    <t>胡*东</t>
  </si>
  <si>
    <t>彭*乾</t>
  </si>
  <si>
    <t>易*辉</t>
  </si>
  <si>
    <t>聂*安</t>
  </si>
  <si>
    <t>朱*德</t>
  </si>
  <si>
    <t>谷*芽</t>
  </si>
  <si>
    <t>姚*柱</t>
  </si>
  <si>
    <t>龙*秋</t>
  </si>
  <si>
    <t>黎*康</t>
  </si>
  <si>
    <t>冯*杰</t>
  </si>
  <si>
    <t>赵*兰</t>
  </si>
  <si>
    <t>郭*强</t>
  </si>
  <si>
    <t>刘*灵</t>
  </si>
  <si>
    <t>段*明</t>
  </si>
  <si>
    <t>杨*萍</t>
  </si>
  <si>
    <t>张*来</t>
  </si>
  <si>
    <t>杨*军</t>
  </si>
  <si>
    <t>龚*煌</t>
  </si>
  <si>
    <t>甘*宏</t>
  </si>
  <si>
    <t>何*桂</t>
  </si>
  <si>
    <t>彭*根</t>
  </si>
  <si>
    <t>易*强</t>
  </si>
  <si>
    <t>朱*喜</t>
  </si>
  <si>
    <t>曹*伶</t>
  </si>
  <si>
    <t>曹*钧</t>
  </si>
  <si>
    <t>舒*奇</t>
  </si>
  <si>
    <t>焦*林</t>
  </si>
  <si>
    <t>敖*纯</t>
  </si>
  <si>
    <t>何*懿</t>
  </si>
  <si>
    <t>余*华</t>
  </si>
  <si>
    <t>苏*云</t>
  </si>
  <si>
    <t>杜*华</t>
  </si>
  <si>
    <t>龙*逊</t>
  </si>
  <si>
    <t>梁*敏</t>
  </si>
  <si>
    <t>方*</t>
  </si>
  <si>
    <t>郭*臻</t>
  </si>
  <si>
    <t>邓*夫</t>
  </si>
  <si>
    <t>沈*轩</t>
  </si>
  <si>
    <t>聂*兴</t>
  </si>
  <si>
    <t>王*芬</t>
  </si>
  <si>
    <t>张*高飞</t>
  </si>
  <si>
    <t>薛*昕</t>
  </si>
  <si>
    <t>黄*文</t>
  </si>
  <si>
    <t>龚*晶</t>
  </si>
  <si>
    <t>李*璐</t>
  </si>
  <si>
    <t>华*</t>
  </si>
  <si>
    <t>周*科</t>
  </si>
  <si>
    <t>左*</t>
  </si>
  <si>
    <t>韩*新</t>
  </si>
  <si>
    <t>娄*</t>
  </si>
  <si>
    <t>蔡*波</t>
  </si>
  <si>
    <t>张*明</t>
  </si>
  <si>
    <t>邹*文</t>
  </si>
  <si>
    <t>谷*红</t>
  </si>
  <si>
    <t>黄*婷</t>
  </si>
  <si>
    <t>黄*彦</t>
  </si>
  <si>
    <t>戴*民</t>
  </si>
  <si>
    <t>龙*浦</t>
  </si>
  <si>
    <t>赵*勇</t>
  </si>
  <si>
    <t>李*蓉</t>
  </si>
  <si>
    <t>胡*晖</t>
  </si>
  <si>
    <t>贺*君</t>
  </si>
  <si>
    <t>雷*</t>
  </si>
  <si>
    <t>雷*杰</t>
  </si>
  <si>
    <t>何*华</t>
  </si>
  <si>
    <t>谭*琼</t>
  </si>
  <si>
    <t>熊*颖</t>
  </si>
  <si>
    <t>徐*国</t>
  </si>
  <si>
    <t>余*</t>
  </si>
  <si>
    <t>黄*庆</t>
  </si>
  <si>
    <t>冯*胜</t>
  </si>
  <si>
    <t>任*云</t>
  </si>
  <si>
    <t>刘*秀</t>
  </si>
  <si>
    <t>唐*元</t>
  </si>
  <si>
    <t>马*</t>
  </si>
  <si>
    <t>王*义</t>
  </si>
  <si>
    <t>李*柏</t>
  </si>
  <si>
    <t>聂*秀</t>
  </si>
  <si>
    <t>朱*星</t>
  </si>
  <si>
    <t>尹*</t>
  </si>
  <si>
    <t>李*涵</t>
  </si>
  <si>
    <t>周*婷</t>
  </si>
  <si>
    <t>李*仁</t>
  </si>
  <si>
    <t>郭*波</t>
  </si>
  <si>
    <t>彭*露</t>
  </si>
  <si>
    <t>杨*康</t>
  </si>
  <si>
    <t>谢*娣</t>
  </si>
  <si>
    <t>张*皿</t>
  </si>
  <si>
    <t>盛*</t>
  </si>
  <si>
    <t>车*</t>
  </si>
  <si>
    <t>冯*骄</t>
  </si>
  <si>
    <t>曾*雄</t>
  </si>
  <si>
    <t>罗*新</t>
  </si>
  <si>
    <t>翟*文</t>
  </si>
  <si>
    <t>周*荣</t>
  </si>
  <si>
    <t>杨*玲</t>
  </si>
  <si>
    <t>杨*惠</t>
  </si>
  <si>
    <t>曾*娟</t>
  </si>
  <si>
    <t>田*华</t>
  </si>
  <si>
    <t>杨*游</t>
  </si>
  <si>
    <t>唐*秋</t>
  </si>
  <si>
    <t>宁*可</t>
  </si>
  <si>
    <t>许*原</t>
  </si>
  <si>
    <t>刘*玮</t>
  </si>
  <si>
    <t>钟*</t>
  </si>
  <si>
    <t>黄*果</t>
  </si>
  <si>
    <t>刘*炜</t>
  </si>
  <si>
    <t>陈*设</t>
  </si>
  <si>
    <t>左*新</t>
  </si>
  <si>
    <t>张*年</t>
  </si>
  <si>
    <t>唐*宇</t>
  </si>
  <si>
    <t>陈*琳</t>
  </si>
  <si>
    <t>阎*林</t>
  </si>
  <si>
    <t>杨*花</t>
  </si>
  <si>
    <t>王*飞</t>
  </si>
  <si>
    <t>宋*清</t>
  </si>
  <si>
    <t>朱*建</t>
  </si>
  <si>
    <t>许*辉</t>
  </si>
  <si>
    <t>张*斌</t>
  </si>
  <si>
    <t>丁*和</t>
  </si>
  <si>
    <t>刘*勇</t>
  </si>
  <si>
    <t>袁*斌</t>
  </si>
  <si>
    <t>徐*华</t>
  </si>
  <si>
    <t>谢*华</t>
  </si>
  <si>
    <t>陆*</t>
  </si>
  <si>
    <t>杨*俊</t>
  </si>
  <si>
    <t>陈*丽</t>
  </si>
  <si>
    <t>言*香</t>
  </si>
  <si>
    <t>周*安</t>
  </si>
  <si>
    <t>钟*强</t>
  </si>
  <si>
    <t>王*强</t>
  </si>
  <si>
    <t>凌*</t>
  </si>
  <si>
    <t>文*兰</t>
  </si>
  <si>
    <t>酆*</t>
  </si>
  <si>
    <t>毛*</t>
  </si>
  <si>
    <t>郑*林</t>
  </si>
  <si>
    <t>白*顺</t>
  </si>
  <si>
    <t>王*林</t>
  </si>
  <si>
    <t>刘*莎</t>
  </si>
  <si>
    <t>贺*平</t>
  </si>
  <si>
    <t>曹*清</t>
  </si>
  <si>
    <t>陈*进</t>
  </si>
  <si>
    <t>吴*蓉</t>
  </si>
  <si>
    <t>林*华</t>
  </si>
  <si>
    <t>刘*英</t>
  </si>
  <si>
    <t>李*国</t>
  </si>
  <si>
    <t>任*武</t>
  </si>
  <si>
    <t>张*梅</t>
  </si>
  <si>
    <t>许*惠</t>
  </si>
  <si>
    <t>彭*耀</t>
  </si>
  <si>
    <t>邓*初</t>
  </si>
  <si>
    <t>沈*健</t>
  </si>
  <si>
    <t>曾*彪</t>
  </si>
  <si>
    <t>傅*辉</t>
  </si>
  <si>
    <t>彭*毛</t>
  </si>
  <si>
    <t>刘*福</t>
  </si>
  <si>
    <t>彭*泽</t>
  </si>
  <si>
    <t>曾*慧</t>
  </si>
  <si>
    <t>黄*辉</t>
  </si>
  <si>
    <t>廖*志</t>
  </si>
  <si>
    <t>谢*武</t>
  </si>
  <si>
    <t>廖*媛</t>
  </si>
  <si>
    <t>刘*取</t>
  </si>
  <si>
    <t>陈*辉</t>
  </si>
  <si>
    <t>胡*彬</t>
  </si>
  <si>
    <t>马*纯</t>
  </si>
  <si>
    <t>李*民</t>
  </si>
  <si>
    <t>谭*军</t>
  </si>
  <si>
    <t>周*泽</t>
  </si>
  <si>
    <t>唐*湘</t>
  </si>
  <si>
    <t>孙*强</t>
  </si>
  <si>
    <t>刘*春</t>
  </si>
  <si>
    <t>袁*湘</t>
  </si>
  <si>
    <t>黄*武</t>
  </si>
  <si>
    <t>韩*明</t>
  </si>
  <si>
    <t>戴*高</t>
  </si>
  <si>
    <t>刘*玉</t>
  </si>
  <si>
    <t>崔*佳</t>
  </si>
  <si>
    <t>尹*索</t>
  </si>
  <si>
    <t>梁*人</t>
  </si>
  <si>
    <t>王*芳</t>
  </si>
  <si>
    <t>阳*</t>
  </si>
  <si>
    <t>郭*寰</t>
  </si>
  <si>
    <t>刘*欣</t>
  </si>
  <si>
    <t>彭*勤</t>
  </si>
  <si>
    <t>吴*波</t>
  </si>
  <si>
    <t>张*艳</t>
  </si>
  <si>
    <t>邓*春</t>
  </si>
  <si>
    <t>杨*晓</t>
  </si>
  <si>
    <t>李*财</t>
  </si>
  <si>
    <t>向*军</t>
  </si>
  <si>
    <t>蒋*国</t>
  </si>
  <si>
    <t>王*军</t>
  </si>
  <si>
    <t>吴*芳</t>
  </si>
  <si>
    <t>李*瑛</t>
  </si>
  <si>
    <t>易*林</t>
  </si>
  <si>
    <t>王*娴</t>
  </si>
  <si>
    <t>刘*远</t>
  </si>
  <si>
    <t>何*捷</t>
  </si>
  <si>
    <t>邹*宇</t>
  </si>
  <si>
    <t>王*未</t>
  </si>
  <si>
    <t>邹*平</t>
  </si>
  <si>
    <t>黄*甦</t>
  </si>
  <si>
    <t>龚*菲</t>
  </si>
  <si>
    <t>徐*芳</t>
  </si>
  <si>
    <t>彭*婷</t>
  </si>
  <si>
    <t>朱*颖</t>
  </si>
  <si>
    <t>李*炉</t>
  </si>
  <si>
    <t>唐*安</t>
  </si>
  <si>
    <t>杨*林</t>
  </si>
  <si>
    <t>谭*萍</t>
  </si>
  <si>
    <t>冯*云</t>
  </si>
  <si>
    <t>史*栋</t>
  </si>
  <si>
    <t>赵*忠</t>
  </si>
  <si>
    <t>何*兰</t>
  </si>
  <si>
    <t>王*如</t>
  </si>
  <si>
    <t>贺*智</t>
  </si>
  <si>
    <t>艾*</t>
  </si>
  <si>
    <t>朱*强</t>
  </si>
  <si>
    <t>曾*清</t>
  </si>
  <si>
    <t>贺*言</t>
  </si>
  <si>
    <t>李*健</t>
  </si>
  <si>
    <t>钟*雄</t>
  </si>
  <si>
    <t>付*芝</t>
  </si>
  <si>
    <t>俞*敏</t>
  </si>
  <si>
    <t>廖*新</t>
  </si>
  <si>
    <t>吴*杨</t>
  </si>
  <si>
    <t>万*进</t>
  </si>
  <si>
    <t>张*学</t>
  </si>
  <si>
    <t>刘*玲</t>
  </si>
  <si>
    <t>吴*兰</t>
  </si>
  <si>
    <t>易*梅</t>
  </si>
  <si>
    <t>谭*新</t>
  </si>
  <si>
    <t>肖*甫</t>
  </si>
  <si>
    <t>肖*忠</t>
  </si>
  <si>
    <t>凌*红</t>
  </si>
  <si>
    <t>阙*辉</t>
  </si>
  <si>
    <t>周*兰</t>
  </si>
  <si>
    <t>丁*元</t>
  </si>
  <si>
    <t>龙*贞</t>
  </si>
  <si>
    <t>罗*成</t>
  </si>
  <si>
    <t>胡*昌</t>
  </si>
  <si>
    <t>余*珍</t>
  </si>
  <si>
    <t>曾*华</t>
  </si>
  <si>
    <t>刘*迪</t>
  </si>
  <si>
    <t>易*红</t>
  </si>
  <si>
    <t>沈*鸿</t>
  </si>
  <si>
    <t>陈*宁</t>
  </si>
  <si>
    <t>王*兰</t>
  </si>
  <si>
    <t>叶*青</t>
  </si>
  <si>
    <t>李*昀</t>
  </si>
  <si>
    <t>沈*英</t>
  </si>
  <si>
    <t>肖*琼</t>
  </si>
  <si>
    <t>陈*宝</t>
  </si>
  <si>
    <t>高*平</t>
  </si>
  <si>
    <t>张*民</t>
  </si>
  <si>
    <t>胡*满</t>
  </si>
  <si>
    <t>蔡*平</t>
  </si>
  <si>
    <t>易*翠</t>
  </si>
  <si>
    <t>熊*山</t>
  </si>
  <si>
    <t>李*琪</t>
  </si>
  <si>
    <t>屈*辉</t>
  </si>
  <si>
    <t>宋*姿</t>
  </si>
  <si>
    <t>徐*卓</t>
  </si>
  <si>
    <t>赵*强</t>
  </si>
  <si>
    <t>武*杰</t>
  </si>
  <si>
    <t>杨*榕</t>
  </si>
  <si>
    <t>龙*莉</t>
  </si>
  <si>
    <t>文*平</t>
  </si>
  <si>
    <t>朱*薇</t>
  </si>
  <si>
    <t>唐*沙</t>
  </si>
  <si>
    <t>鲁*伦</t>
  </si>
  <si>
    <t>黄*婧</t>
  </si>
  <si>
    <t>禹*松</t>
  </si>
  <si>
    <t>袁*琴</t>
  </si>
  <si>
    <t>夏*文</t>
  </si>
  <si>
    <t>张*奎</t>
  </si>
  <si>
    <t>王*安</t>
  </si>
  <si>
    <t>葛*荣</t>
  </si>
  <si>
    <t>徐*丹</t>
  </si>
  <si>
    <t>徐*庆</t>
  </si>
  <si>
    <t>卜*军</t>
  </si>
  <si>
    <t>周*钢</t>
  </si>
  <si>
    <t>陈*建</t>
  </si>
  <si>
    <t>黄*涛</t>
  </si>
  <si>
    <t>雷*惠</t>
  </si>
  <si>
    <t>曾*明</t>
  </si>
  <si>
    <t>韩*辛</t>
  </si>
  <si>
    <t>盛*民</t>
  </si>
  <si>
    <t>彭*平</t>
  </si>
  <si>
    <t>何*国</t>
  </si>
  <si>
    <t>文*中</t>
  </si>
  <si>
    <t>周*玉</t>
  </si>
  <si>
    <t>常*宇</t>
  </si>
  <si>
    <t>鲁*</t>
  </si>
  <si>
    <t>盛*红</t>
  </si>
  <si>
    <t>姚*宇</t>
  </si>
  <si>
    <t>杨*暄</t>
  </si>
  <si>
    <t>陈*杰</t>
  </si>
  <si>
    <t>李*遥</t>
  </si>
  <si>
    <t>宋*阳</t>
  </si>
  <si>
    <t>文*丹</t>
  </si>
  <si>
    <t>周*生</t>
  </si>
  <si>
    <t>杨*氏</t>
  </si>
  <si>
    <t>彭*诗</t>
  </si>
  <si>
    <t>罗*轶</t>
  </si>
  <si>
    <t>陆*婷</t>
  </si>
  <si>
    <t>李*诺</t>
  </si>
  <si>
    <t>张*可</t>
  </si>
  <si>
    <t>刘*栋</t>
  </si>
  <si>
    <t>陈*熹</t>
  </si>
  <si>
    <t>吴*毛</t>
  </si>
  <si>
    <t>朱*煦</t>
  </si>
  <si>
    <t>贺*富</t>
  </si>
  <si>
    <t>胡*云</t>
  </si>
  <si>
    <t>戴*明</t>
  </si>
  <si>
    <t>陶*国</t>
  </si>
  <si>
    <t>李*杰</t>
  </si>
  <si>
    <t>熊*武</t>
  </si>
  <si>
    <t>郦*琼</t>
  </si>
  <si>
    <t>文*红</t>
  </si>
  <si>
    <t>尹*锋</t>
  </si>
  <si>
    <t>卢*</t>
  </si>
  <si>
    <t>李*康</t>
  </si>
  <si>
    <t>邹*晔</t>
  </si>
  <si>
    <t>谭*坤</t>
  </si>
  <si>
    <t>冯*勇</t>
  </si>
  <si>
    <t>徐*羚</t>
  </si>
  <si>
    <t>毛*赐</t>
  </si>
  <si>
    <t>曹*云</t>
  </si>
  <si>
    <t>沈*霞</t>
  </si>
  <si>
    <t>欧*洪雨</t>
  </si>
  <si>
    <t>邓*泽</t>
  </si>
  <si>
    <t>王*香</t>
  </si>
  <si>
    <t>项*峰</t>
  </si>
  <si>
    <t>俄*明</t>
  </si>
  <si>
    <t>梁*国</t>
  </si>
  <si>
    <t>张*栋</t>
  </si>
  <si>
    <t>陶*建</t>
  </si>
  <si>
    <t>傅*庆</t>
  </si>
  <si>
    <t>段*华</t>
  </si>
  <si>
    <t>张*伟</t>
  </si>
  <si>
    <t>刘*利</t>
  </si>
  <si>
    <t>欧*丽</t>
  </si>
  <si>
    <t>王*双</t>
  </si>
  <si>
    <t>张*慧</t>
  </si>
  <si>
    <t>曹*岳</t>
  </si>
  <si>
    <t>毛*钢</t>
  </si>
  <si>
    <t>袁*伟</t>
  </si>
  <si>
    <t>张*知</t>
  </si>
  <si>
    <t>钟*玲</t>
  </si>
  <si>
    <t>李*沄</t>
  </si>
  <si>
    <t>刘*佳</t>
  </si>
  <si>
    <t>何*龙</t>
  </si>
  <si>
    <t>刘*琛</t>
  </si>
  <si>
    <t>李*文</t>
  </si>
  <si>
    <t>厉*球</t>
  </si>
  <si>
    <t>朱*溢</t>
  </si>
  <si>
    <t>张*雯</t>
  </si>
  <si>
    <t>王*波</t>
  </si>
  <si>
    <t>宋*轩</t>
  </si>
  <si>
    <t>刘*士</t>
  </si>
  <si>
    <t>李*婧</t>
  </si>
  <si>
    <t>胡*圣</t>
  </si>
  <si>
    <t>黄*励</t>
  </si>
  <si>
    <t>廖*杰</t>
  </si>
  <si>
    <t>陈*龙</t>
  </si>
  <si>
    <t>刘*希</t>
  </si>
  <si>
    <t>吴*洲</t>
  </si>
  <si>
    <t>周*勇</t>
  </si>
  <si>
    <t>宗*</t>
  </si>
  <si>
    <t>莫*红</t>
  </si>
  <si>
    <t>何*凯</t>
  </si>
  <si>
    <t>项*</t>
  </si>
  <si>
    <t>陈*锦</t>
  </si>
  <si>
    <t>王*博</t>
  </si>
  <si>
    <t>过*瑜</t>
  </si>
  <si>
    <t>朱*庆</t>
  </si>
  <si>
    <t>刘*湘</t>
  </si>
  <si>
    <t>张*胜</t>
  </si>
  <si>
    <t>廖*梅</t>
  </si>
  <si>
    <t>谭*幸</t>
  </si>
  <si>
    <t>丁*立</t>
  </si>
  <si>
    <t>熊*文</t>
  </si>
  <si>
    <t>甘*东</t>
  </si>
  <si>
    <t>周*满</t>
  </si>
  <si>
    <t>李*成</t>
  </si>
  <si>
    <t>张*青</t>
  </si>
  <si>
    <t>徐*楚</t>
  </si>
  <si>
    <t>张*超</t>
  </si>
  <si>
    <t>杨*清</t>
  </si>
  <si>
    <t>钟*明</t>
  </si>
  <si>
    <t>郭*秀</t>
  </si>
  <si>
    <t>陈*强</t>
  </si>
  <si>
    <t>李*江</t>
  </si>
  <si>
    <t>罗*珍</t>
  </si>
  <si>
    <t>向*望</t>
  </si>
  <si>
    <t>旷*洁</t>
  </si>
  <si>
    <t>乐*</t>
  </si>
  <si>
    <t>张*光</t>
  </si>
  <si>
    <t>阮*媛</t>
  </si>
  <si>
    <t>杨*耕</t>
  </si>
  <si>
    <t>贺*辉</t>
  </si>
  <si>
    <t>韩*兰</t>
  </si>
  <si>
    <t>柳*燕</t>
  </si>
  <si>
    <t>胡*敏</t>
  </si>
  <si>
    <t>曾*顺</t>
  </si>
  <si>
    <t>盛*桂</t>
  </si>
  <si>
    <t>陈*慧</t>
  </si>
  <si>
    <t>陈*炼</t>
  </si>
  <si>
    <t>周*连</t>
  </si>
  <si>
    <t>何*韵</t>
  </si>
  <si>
    <t>杜*军</t>
  </si>
  <si>
    <t>孙*国</t>
  </si>
  <si>
    <t>宾*博</t>
  </si>
  <si>
    <t>何*喜</t>
  </si>
  <si>
    <t>肖*林</t>
  </si>
  <si>
    <t>肖*婷</t>
  </si>
  <si>
    <t>袁*强</t>
  </si>
  <si>
    <t>左*宝</t>
  </si>
  <si>
    <t>杜*民</t>
  </si>
  <si>
    <t>黄*久</t>
  </si>
  <si>
    <t>张*其</t>
  </si>
  <si>
    <t>龙*强</t>
  </si>
  <si>
    <t>杨*霖</t>
  </si>
  <si>
    <t>段*燕</t>
  </si>
  <si>
    <t>钱*</t>
  </si>
  <si>
    <t>吴*清</t>
  </si>
  <si>
    <t>马*平</t>
  </si>
  <si>
    <t>戴*衡</t>
  </si>
  <si>
    <t>周*武</t>
  </si>
  <si>
    <t>王*其</t>
  </si>
  <si>
    <t>李*飞</t>
  </si>
  <si>
    <t>赵*进</t>
  </si>
  <si>
    <t>王*钧</t>
  </si>
  <si>
    <t>胡*智</t>
  </si>
  <si>
    <t>钟*文</t>
  </si>
  <si>
    <t>吴*沛</t>
  </si>
  <si>
    <t>罗*辉</t>
  </si>
  <si>
    <t>李*谆</t>
  </si>
  <si>
    <t>庞*红</t>
  </si>
  <si>
    <t>吴*涛</t>
  </si>
  <si>
    <t>成*平</t>
  </si>
  <si>
    <t>黄*洪</t>
  </si>
  <si>
    <t>王*琼</t>
  </si>
  <si>
    <t>唐*芬</t>
  </si>
  <si>
    <t>刘*海</t>
  </si>
  <si>
    <t>陈*鑫</t>
  </si>
  <si>
    <t>尹*阳</t>
  </si>
  <si>
    <t>杨*年</t>
  </si>
  <si>
    <t>缪*庭</t>
  </si>
  <si>
    <t>陈*生</t>
  </si>
  <si>
    <t>袁*陵</t>
  </si>
  <si>
    <t>梁*生</t>
  </si>
  <si>
    <t>冯*斌</t>
  </si>
  <si>
    <t>邹*根</t>
  </si>
  <si>
    <t>杨*强</t>
  </si>
  <si>
    <t>杨*国</t>
  </si>
  <si>
    <t>马*辉</t>
  </si>
  <si>
    <t>王*佳</t>
  </si>
  <si>
    <t>伏*仪</t>
  </si>
  <si>
    <t>崔*兵</t>
  </si>
  <si>
    <t>黄*英</t>
  </si>
  <si>
    <t>唐*平</t>
  </si>
  <si>
    <t>冯*林</t>
  </si>
  <si>
    <t>夏*建</t>
  </si>
  <si>
    <t>舒*兰</t>
  </si>
  <si>
    <t>王*文</t>
  </si>
  <si>
    <t>朱*福</t>
  </si>
  <si>
    <t>谢*国</t>
  </si>
  <si>
    <t>张*祥</t>
  </si>
  <si>
    <t>江*春</t>
  </si>
  <si>
    <t>黄*祥</t>
  </si>
  <si>
    <t>廖*杨</t>
  </si>
  <si>
    <t>聂*</t>
  </si>
  <si>
    <t>蔡*</t>
  </si>
  <si>
    <t>余*春</t>
  </si>
  <si>
    <t>陈*元</t>
  </si>
  <si>
    <t>蒋*文</t>
  </si>
  <si>
    <t>王*初</t>
  </si>
  <si>
    <t>毛*杰</t>
  </si>
  <si>
    <t>戴*媛</t>
  </si>
  <si>
    <t>张*银</t>
  </si>
  <si>
    <t>周*华</t>
  </si>
  <si>
    <t>周*芳</t>
  </si>
  <si>
    <t>朱*保</t>
  </si>
  <si>
    <t>邓*明</t>
  </si>
  <si>
    <t>周*伟</t>
  </si>
  <si>
    <t>贺*球</t>
  </si>
  <si>
    <t>蒋*志</t>
  </si>
  <si>
    <t>谢*梅</t>
  </si>
  <si>
    <t>杨*福</t>
  </si>
  <si>
    <t>彭*清</t>
  </si>
  <si>
    <t>陈*奇</t>
  </si>
  <si>
    <t>常*铭</t>
  </si>
  <si>
    <t>陈*秋</t>
  </si>
  <si>
    <t>赵*林</t>
  </si>
  <si>
    <t>易*亮</t>
  </si>
  <si>
    <t>吴*梁</t>
  </si>
  <si>
    <t>谭*辉</t>
  </si>
  <si>
    <t>张*波</t>
  </si>
  <si>
    <t>刘*元</t>
  </si>
  <si>
    <t>尹*农</t>
  </si>
  <si>
    <t>丑*珍</t>
  </si>
  <si>
    <t>喻*春</t>
  </si>
  <si>
    <t>万*庆</t>
  </si>
  <si>
    <t>徐*旺</t>
  </si>
  <si>
    <t>漆*</t>
  </si>
  <si>
    <t>杨*超</t>
  </si>
  <si>
    <t>涂*</t>
  </si>
  <si>
    <t>龚*福</t>
  </si>
  <si>
    <t>饶*</t>
  </si>
  <si>
    <t>张*河</t>
  </si>
  <si>
    <t>陈*新</t>
  </si>
  <si>
    <t>梁*云</t>
  </si>
  <si>
    <t>张*林</t>
  </si>
  <si>
    <t>徐*武</t>
  </si>
  <si>
    <t>郑*桂</t>
  </si>
  <si>
    <t>罗*军</t>
  </si>
  <si>
    <t>严*旗</t>
  </si>
  <si>
    <t>谢*良</t>
  </si>
  <si>
    <t>周*兴</t>
  </si>
  <si>
    <t>杨*莲</t>
  </si>
  <si>
    <t>章*雄</t>
  </si>
  <si>
    <t>田*明</t>
  </si>
  <si>
    <t>肖*娥</t>
  </si>
  <si>
    <t>徐*辉</t>
  </si>
  <si>
    <t>唐*高</t>
  </si>
  <si>
    <t>严*余</t>
  </si>
  <si>
    <t>李*金</t>
  </si>
  <si>
    <t>宋*林</t>
  </si>
  <si>
    <t>周*亮</t>
  </si>
  <si>
    <t>李*强</t>
  </si>
  <si>
    <t>周*骏</t>
  </si>
  <si>
    <t>彭*文</t>
  </si>
  <si>
    <t>成*林</t>
  </si>
  <si>
    <t>吴*娟</t>
  </si>
  <si>
    <t>叶*辉</t>
  </si>
  <si>
    <t>彭*纯</t>
  </si>
  <si>
    <t>龚*英</t>
  </si>
  <si>
    <t>金*沛</t>
  </si>
  <si>
    <t>李*丽</t>
  </si>
  <si>
    <t>谈*武</t>
  </si>
  <si>
    <t>卢*莲</t>
  </si>
  <si>
    <t>毛*春</t>
  </si>
  <si>
    <t>李*平</t>
  </si>
  <si>
    <t>陈*旎</t>
  </si>
  <si>
    <t>苏*文</t>
  </si>
  <si>
    <t>郑*明</t>
  </si>
  <si>
    <t>张*志</t>
  </si>
  <si>
    <t>何*宜</t>
  </si>
  <si>
    <t>陈*阅</t>
  </si>
  <si>
    <t>王*伦</t>
  </si>
  <si>
    <t>黄*德</t>
  </si>
  <si>
    <t>陈*政</t>
  </si>
  <si>
    <t>解*</t>
  </si>
  <si>
    <t>陈*洲</t>
  </si>
  <si>
    <t>赵*恒</t>
  </si>
  <si>
    <t>王*坤</t>
  </si>
  <si>
    <t>丁*英</t>
  </si>
  <si>
    <t>肖*航</t>
  </si>
  <si>
    <t>胡*亚</t>
  </si>
  <si>
    <t>陈*娥</t>
  </si>
  <si>
    <t xml:space="preserve"> 天心区2022年12月残疾人“两项补贴”审定人员公示（三）</t>
  </si>
  <si>
    <t>刘*勋</t>
  </si>
  <si>
    <t>李*艳</t>
  </si>
  <si>
    <t>贺*林</t>
  </si>
  <si>
    <t>宋*文</t>
  </si>
  <si>
    <t>周*珍</t>
  </si>
  <si>
    <t>杨*蓁</t>
  </si>
  <si>
    <t>李*键</t>
  </si>
  <si>
    <t>周*蕾</t>
  </si>
  <si>
    <t>凌*国</t>
  </si>
  <si>
    <t>钟*林</t>
  </si>
  <si>
    <t>易*泉</t>
  </si>
  <si>
    <t>徐*明</t>
  </si>
  <si>
    <t>付*航</t>
  </si>
  <si>
    <t>熊*健</t>
  </si>
  <si>
    <t>刘*莹</t>
  </si>
  <si>
    <t>林*含</t>
  </si>
  <si>
    <t>李*轩</t>
  </si>
  <si>
    <t>黄*梅</t>
  </si>
  <si>
    <t>邱*新</t>
  </si>
  <si>
    <t>莫*娥</t>
  </si>
  <si>
    <t>王*球</t>
  </si>
  <si>
    <t>林*依</t>
  </si>
  <si>
    <t>朱*锦</t>
  </si>
  <si>
    <t>段*瑞</t>
  </si>
  <si>
    <t>储*科</t>
  </si>
  <si>
    <t>谭*毅</t>
  </si>
  <si>
    <t>彭*玲</t>
  </si>
  <si>
    <t>刘*东</t>
  </si>
  <si>
    <t>熊*忠</t>
  </si>
  <si>
    <t>熊*晖</t>
  </si>
  <si>
    <t>刘*均</t>
  </si>
  <si>
    <t>王*蓉</t>
  </si>
  <si>
    <t>龙*春</t>
  </si>
  <si>
    <t>王*之</t>
  </si>
  <si>
    <t>徐*香</t>
  </si>
  <si>
    <t>李*袁</t>
  </si>
  <si>
    <t>彭*虹</t>
  </si>
  <si>
    <t>罗*存</t>
  </si>
  <si>
    <t>许*玲</t>
  </si>
  <si>
    <t>黄*根</t>
  </si>
  <si>
    <t>全*兵</t>
  </si>
  <si>
    <t>眭*中</t>
  </si>
  <si>
    <t>曹*托</t>
  </si>
  <si>
    <t>唐*洁</t>
  </si>
  <si>
    <t>连*鸿</t>
  </si>
  <si>
    <t>叶*珍</t>
  </si>
  <si>
    <t>颜*红</t>
  </si>
  <si>
    <t>彭*庚</t>
  </si>
  <si>
    <t>汪*恒</t>
  </si>
  <si>
    <t>黎*国</t>
  </si>
  <si>
    <t>黄*东</t>
  </si>
  <si>
    <t>姚*筠</t>
  </si>
  <si>
    <t>麻*</t>
  </si>
  <si>
    <t>杨*铭</t>
  </si>
  <si>
    <t>董*</t>
  </si>
  <si>
    <t>范*红</t>
  </si>
  <si>
    <t>曾*歆</t>
  </si>
  <si>
    <t>余*国</t>
  </si>
  <si>
    <t>周*凡</t>
  </si>
  <si>
    <t>熊*甫</t>
  </si>
  <si>
    <t>黄*韩</t>
  </si>
  <si>
    <t>高*鸣</t>
  </si>
  <si>
    <t>周*巧</t>
  </si>
  <si>
    <t>朱*秀</t>
  </si>
  <si>
    <t>李*科</t>
  </si>
  <si>
    <t>谈*容</t>
  </si>
  <si>
    <t>刘*钢</t>
  </si>
  <si>
    <t>肖*政</t>
  </si>
  <si>
    <t>谭*明</t>
  </si>
  <si>
    <t>张*语</t>
  </si>
  <si>
    <t>谷*庭</t>
  </si>
  <si>
    <t>彭*球</t>
  </si>
  <si>
    <t>蒋*清</t>
  </si>
  <si>
    <t>李*芷</t>
  </si>
  <si>
    <t>谭*盛</t>
  </si>
  <si>
    <t>谭*兰</t>
  </si>
  <si>
    <t>王*瑛</t>
  </si>
  <si>
    <t>管*健</t>
  </si>
  <si>
    <t>张*山</t>
  </si>
  <si>
    <t>阳*桂</t>
  </si>
  <si>
    <t>康*辉</t>
  </si>
  <si>
    <t>湛*克</t>
  </si>
  <si>
    <t>严*英</t>
  </si>
  <si>
    <t>彭*荣</t>
  </si>
  <si>
    <t>饶*勇</t>
  </si>
  <si>
    <t>林*来</t>
  </si>
  <si>
    <t>刘*婕</t>
  </si>
  <si>
    <t>宁*安</t>
  </si>
  <si>
    <t>梁*锋</t>
  </si>
  <si>
    <t>谢*根</t>
  </si>
  <si>
    <t>言*刚</t>
  </si>
  <si>
    <t>王*生</t>
  </si>
  <si>
    <t>马*华</t>
  </si>
  <si>
    <t>吴*生</t>
  </si>
  <si>
    <t>李*玉</t>
  </si>
  <si>
    <t>唐*辉</t>
  </si>
  <si>
    <t>李*正</t>
  </si>
  <si>
    <t>徐*新</t>
  </si>
  <si>
    <t>邓*斌</t>
  </si>
  <si>
    <t>梁*文</t>
  </si>
  <si>
    <t>陈*威</t>
  </si>
  <si>
    <t>李*奇</t>
  </si>
  <si>
    <t>许*</t>
  </si>
  <si>
    <t>杨*匡</t>
  </si>
  <si>
    <t>张*午</t>
  </si>
  <si>
    <t>张*爱</t>
  </si>
  <si>
    <t>姜*霞</t>
  </si>
  <si>
    <t>肖*华</t>
  </si>
  <si>
    <t>陈*旗</t>
  </si>
  <si>
    <t>罗*君</t>
  </si>
  <si>
    <t>胡*岳</t>
  </si>
  <si>
    <t>赵*桃</t>
  </si>
  <si>
    <t>詹*元</t>
  </si>
  <si>
    <t>王*梅</t>
  </si>
  <si>
    <t>粟*</t>
  </si>
  <si>
    <t>谢*炎</t>
  </si>
  <si>
    <t>殷*格</t>
  </si>
  <si>
    <t>江*杰</t>
  </si>
  <si>
    <t>赵*博</t>
  </si>
  <si>
    <t>李*生</t>
  </si>
  <si>
    <t>刘*石</t>
  </si>
  <si>
    <t>李*庆</t>
  </si>
  <si>
    <t>邓*芝</t>
  </si>
  <si>
    <t>赵*纯</t>
  </si>
  <si>
    <t>谭*德</t>
  </si>
  <si>
    <t>谭*纯</t>
  </si>
  <si>
    <t>皮*琼</t>
  </si>
  <si>
    <t>曾*源</t>
  </si>
  <si>
    <t>龚*华</t>
  </si>
  <si>
    <t>吴*琪</t>
  </si>
  <si>
    <t>熊*琦</t>
  </si>
  <si>
    <t>任*贞</t>
  </si>
  <si>
    <t>王*轲</t>
  </si>
  <si>
    <t>刘*棱</t>
  </si>
  <si>
    <t>李*兵</t>
  </si>
  <si>
    <t>周*刚</t>
  </si>
  <si>
    <t>余*民</t>
  </si>
  <si>
    <t>舒*雯</t>
  </si>
  <si>
    <t>苏*斌</t>
  </si>
  <si>
    <t>陈*贞</t>
  </si>
  <si>
    <t>宋*平</t>
  </si>
  <si>
    <t>蒲*艳</t>
  </si>
  <si>
    <t>刘*强</t>
  </si>
  <si>
    <t>刘*完</t>
  </si>
  <si>
    <t>卢*平</t>
  </si>
  <si>
    <t>谭*奇</t>
  </si>
  <si>
    <t>胡*丽</t>
  </si>
  <si>
    <t>郭*伟</t>
  </si>
  <si>
    <t>彭*良</t>
  </si>
  <si>
    <t>欧*凌</t>
  </si>
  <si>
    <t>王*民</t>
  </si>
  <si>
    <t>方*兴</t>
  </si>
  <si>
    <t>康*其</t>
  </si>
  <si>
    <t>马*思</t>
  </si>
  <si>
    <t>许*林</t>
  </si>
  <si>
    <t>林*生</t>
  </si>
  <si>
    <t>谢*飞</t>
  </si>
  <si>
    <t>彭*俊</t>
  </si>
  <si>
    <t>高*安</t>
  </si>
  <si>
    <t>陈*纯</t>
  </si>
  <si>
    <t>唐*宸</t>
  </si>
  <si>
    <t>戴*忠</t>
  </si>
  <si>
    <t>熊*英</t>
  </si>
  <si>
    <t>谢*秀</t>
  </si>
  <si>
    <t>罗*芳</t>
  </si>
  <si>
    <t>龙*弘</t>
  </si>
  <si>
    <t>莫*平</t>
  </si>
  <si>
    <t>严*有</t>
  </si>
  <si>
    <t>张*睿</t>
  </si>
  <si>
    <t>崔*贤</t>
  </si>
  <si>
    <t>张*妤</t>
  </si>
  <si>
    <t>陈*伦</t>
  </si>
  <si>
    <t>蒋*君</t>
  </si>
  <si>
    <t>王*一</t>
  </si>
  <si>
    <t>邹*光</t>
  </si>
  <si>
    <t>邓*湘</t>
  </si>
  <si>
    <t>罗*平</t>
  </si>
  <si>
    <t>姚*淖</t>
  </si>
  <si>
    <t>陈*斌</t>
  </si>
  <si>
    <t>易*双</t>
  </si>
  <si>
    <t>彭*枚</t>
  </si>
  <si>
    <t>唐*庆</t>
  </si>
  <si>
    <t>申*元</t>
  </si>
  <si>
    <t>熊*飞</t>
  </si>
  <si>
    <t>刘*轮</t>
  </si>
  <si>
    <t>郭*平</t>
  </si>
  <si>
    <t>贺*云</t>
  </si>
  <si>
    <t>唐*丽</t>
  </si>
  <si>
    <t>杨*哥</t>
  </si>
  <si>
    <t>靳*花</t>
  </si>
  <si>
    <t>谭*武</t>
  </si>
  <si>
    <t>汤*珍</t>
  </si>
  <si>
    <t>吴*妹</t>
  </si>
  <si>
    <t>曾*洋</t>
  </si>
  <si>
    <t>欧*珍</t>
  </si>
  <si>
    <t>邓*文</t>
  </si>
  <si>
    <t>张*中</t>
  </si>
  <si>
    <t>吴*璇</t>
  </si>
  <si>
    <t>师*邦</t>
  </si>
  <si>
    <t>杨*南</t>
  </si>
  <si>
    <t>蔡*珍</t>
  </si>
  <si>
    <t>廖*香</t>
  </si>
  <si>
    <t>言*</t>
  </si>
  <si>
    <t>高*荣</t>
  </si>
  <si>
    <t>陈*妍</t>
  </si>
  <si>
    <t>欧*政</t>
  </si>
  <si>
    <t>许*鹏</t>
  </si>
  <si>
    <t>袁*宁</t>
  </si>
  <si>
    <t>陈*国</t>
  </si>
  <si>
    <t>刘*豪</t>
  </si>
  <si>
    <t>范*良</t>
  </si>
  <si>
    <t>尹*妮</t>
  </si>
  <si>
    <t>宋*聪</t>
  </si>
  <si>
    <t>罗*沙</t>
  </si>
  <si>
    <t>陈*桓</t>
  </si>
  <si>
    <t>朱*民</t>
  </si>
  <si>
    <t>范*汉</t>
  </si>
  <si>
    <t>汤*龙</t>
  </si>
  <si>
    <t>石*芳</t>
  </si>
  <si>
    <t>陈*彬</t>
  </si>
  <si>
    <t>祖*</t>
  </si>
  <si>
    <t>周*良</t>
  </si>
  <si>
    <t>程*明</t>
  </si>
  <si>
    <t>汤*伟</t>
  </si>
  <si>
    <t>范*菊</t>
  </si>
  <si>
    <t>唐*涵</t>
  </si>
  <si>
    <t>陈*红</t>
  </si>
  <si>
    <t>沈*根</t>
  </si>
  <si>
    <t>刘*伦</t>
  </si>
  <si>
    <t>袁*良</t>
  </si>
  <si>
    <t>黄*媛</t>
  </si>
  <si>
    <t>周*定</t>
  </si>
  <si>
    <t>冀*华</t>
  </si>
  <si>
    <t>潘*东</t>
  </si>
  <si>
    <t>梁*华</t>
  </si>
  <si>
    <t>杨*辉</t>
  </si>
  <si>
    <t>赵*婷</t>
  </si>
  <si>
    <t>何*南</t>
  </si>
  <si>
    <t>刘*言</t>
  </si>
  <si>
    <t>王*吾</t>
  </si>
  <si>
    <t>周*莲</t>
  </si>
  <si>
    <t>周*国</t>
  </si>
  <si>
    <t>赵*胤</t>
  </si>
  <si>
    <t>马*孝</t>
  </si>
  <si>
    <t>黎*森</t>
  </si>
  <si>
    <t>陈*城</t>
  </si>
  <si>
    <t>刘*章</t>
  </si>
  <si>
    <t>贺*麟</t>
  </si>
  <si>
    <t>罗*蕊</t>
  </si>
  <si>
    <t>肖*元</t>
  </si>
  <si>
    <t>徐*松</t>
  </si>
  <si>
    <t>许*洲</t>
  </si>
  <si>
    <t>伍*珍</t>
  </si>
  <si>
    <t>潘*华</t>
  </si>
  <si>
    <t>朱*国</t>
  </si>
  <si>
    <t>黄*伟</t>
  </si>
  <si>
    <t>徐*林</t>
  </si>
  <si>
    <t>胡*莲</t>
  </si>
  <si>
    <t>杨*斌</t>
  </si>
  <si>
    <t>胡*梁</t>
  </si>
  <si>
    <t>柳*军</t>
  </si>
  <si>
    <t>陈*跃</t>
  </si>
  <si>
    <t>龙*雄</t>
  </si>
  <si>
    <t>蔡*香</t>
  </si>
  <si>
    <t>兰*川</t>
  </si>
  <si>
    <t>许*放</t>
  </si>
  <si>
    <t>喻*军</t>
  </si>
  <si>
    <t>李*男</t>
  </si>
  <si>
    <t>刘*坚</t>
  </si>
  <si>
    <t>许*红</t>
  </si>
  <si>
    <t>周*樑</t>
  </si>
  <si>
    <t>陈*全</t>
  </si>
  <si>
    <t>潘*全</t>
  </si>
  <si>
    <t>张*根</t>
  </si>
  <si>
    <t>姚*华</t>
  </si>
  <si>
    <t>沈*兰</t>
  </si>
  <si>
    <t>银*频</t>
  </si>
  <si>
    <t>唐*春</t>
  </si>
  <si>
    <t>谭*君</t>
  </si>
  <si>
    <t>丁*君</t>
  </si>
  <si>
    <t>欧*煌</t>
  </si>
  <si>
    <t>周*成</t>
  </si>
  <si>
    <t>李*群</t>
  </si>
  <si>
    <t>谷*城</t>
  </si>
  <si>
    <t>曾*阳</t>
  </si>
  <si>
    <t>刘*建</t>
  </si>
  <si>
    <t>杨*新</t>
  </si>
  <si>
    <t>顾*雯</t>
  </si>
  <si>
    <t>欧*龙</t>
  </si>
  <si>
    <t>黄*颖</t>
  </si>
  <si>
    <t>钟*橙</t>
  </si>
  <si>
    <t>杨*文</t>
  </si>
  <si>
    <t>赵*根</t>
  </si>
  <si>
    <t>杨*双</t>
  </si>
  <si>
    <t>陈*英</t>
  </si>
  <si>
    <t>彭*帆</t>
  </si>
  <si>
    <t>周*东</t>
  </si>
  <si>
    <t>欧*自强</t>
  </si>
  <si>
    <t>章*亮</t>
  </si>
  <si>
    <t>陈*义</t>
  </si>
  <si>
    <t>宋*君</t>
  </si>
  <si>
    <t>梁*英</t>
  </si>
  <si>
    <t>杨*良</t>
  </si>
  <si>
    <t>梁*轶</t>
  </si>
  <si>
    <t>代*君</t>
  </si>
  <si>
    <t>左*熳</t>
  </si>
  <si>
    <t>王*静</t>
  </si>
  <si>
    <t>马*斌</t>
  </si>
  <si>
    <t>杨*杰</t>
  </si>
  <si>
    <t>陈*郡</t>
  </si>
  <si>
    <t>张*玮</t>
  </si>
  <si>
    <t>龚*喜</t>
  </si>
  <si>
    <t>郭*龙</t>
  </si>
  <si>
    <t>郭*明</t>
  </si>
  <si>
    <t>谭*楠</t>
  </si>
  <si>
    <t>周*祥</t>
  </si>
  <si>
    <t>周*诺</t>
  </si>
  <si>
    <t>张*瑞</t>
  </si>
  <si>
    <t>宾*文</t>
  </si>
  <si>
    <t>廖*萍</t>
  </si>
  <si>
    <t>林*义</t>
  </si>
  <si>
    <t>杨*馨</t>
  </si>
  <si>
    <t>柳*琴</t>
  </si>
  <si>
    <t>易*文</t>
  </si>
  <si>
    <t>赵*方</t>
  </si>
  <si>
    <t>叶*兰</t>
  </si>
  <si>
    <t>梁*妮</t>
  </si>
  <si>
    <t>戴*伟</t>
  </si>
  <si>
    <t>潘*南</t>
  </si>
  <si>
    <t>龚*礼</t>
  </si>
  <si>
    <t>戴*鸿</t>
  </si>
  <si>
    <t>邓*红</t>
  </si>
  <si>
    <t>苏*玉</t>
  </si>
  <si>
    <t>马*欢</t>
  </si>
  <si>
    <t>周*坚</t>
  </si>
  <si>
    <t>叶*锋</t>
  </si>
  <si>
    <t>陈*煜</t>
  </si>
  <si>
    <t>李*怡</t>
  </si>
  <si>
    <t>肖*家</t>
  </si>
  <si>
    <t>刘*香</t>
  </si>
  <si>
    <t>胡*平</t>
  </si>
  <si>
    <t>熊*祥</t>
  </si>
  <si>
    <t>郭*成</t>
  </si>
  <si>
    <t>陈*福</t>
  </si>
  <si>
    <t>唐*鸣</t>
  </si>
  <si>
    <t>杜*峰</t>
  </si>
  <si>
    <t>魏*光</t>
  </si>
  <si>
    <t>喻*华</t>
  </si>
  <si>
    <t>黄*兰</t>
  </si>
  <si>
    <t>朱*琪</t>
  </si>
  <si>
    <t>梁*花</t>
  </si>
  <si>
    <t>姚*红</t>
  </si>
  <si>
    <t>蔡*辉</t>
  </si>
  <si>
    <t>谭*咸</t>
  </si>
  <si>
    <t>陈*玛</t>
  </si>
  <si>
    <t>骆*平</t>
  </si>
  <si>
    <t>潘*惟</t>
  </si>
  <si>
    <t>陶*喜</t>
  </si>
  <si>
    <t>严*曦</t>
  </si>
  <si>
    <t>言*良</t>
  </si>
  <si>
    <t>姜*翔</t>
  </si>
  <si>
    <t>周*美</t>
  </si>
  <si>
    <t>颜*辉</t>
  </si>
  <si>
    <t>赵*香</t>
  </si>
  <si>
    <t>李*丁</t>
  </si>
  <si>
    <t>章*芹</t>
  </si>
  <si>
    <t>阳*维</t>
  </si>
  <si>
    <t>胡*兮</t>
  </si>
  <si>
    <t>许*强</t>
  </si>
  <si>
    <t>王*纯</t>
  </si>
  <si>
    <t>何*芬</t>
  </si>
  <si>
    <t>刘*惠</t>
  </si>
  <si>
    <t>徐*斌</t>
  </si>
  <si>
    <t>康*峰</t>
  </si>
  <si>
    <t>张*谋</t>
  </si>
  <si>
    <t>唐*专</t>
  </si>
  <si>
    <t>李*斌</t>
  </si>
  <si>
    <t>张*满</t>
  </si>
  <si>
    <t>彭*桂</t>
  </si>
  <si>
    <t>林*奇</t>
  </si>
  <si>
    <t>巢*安</t>
  </si>
  <si>
    <t>朱*模</t>
  </si>
  <si>
    <t>徐*高</t>
  </si>
  <si>
    <t>王*威</t>
  </si>
  <si>
    <t>彭*明</t>
  </si>
  <si>
    <t>肖*英</t>
  </si>
  <si>
    <t>彭*兰</t>
  </si>
  <si>
    <t>刘*泉</t>
  </si>
  <si>
    <t>江*凉</t>
  </si>
  <si>
    <t>陈*显</t>
  </si>
  <si>
    <t>包*萍</t>
  </si>
  <si>
    <t>唐*焕</t>
  </si>
  <si>
    <t>石*红</t>
  </si>
  <si>
    <t>田*根</t>
  </si>
  <si>
    <t>钟*先</t>
  </si>
  <si>
    <t>谭*生</t>
  </si>
  <si>
    <t>徐*江</t>
  </si>
  <si>
    <t>李*星</t>
  </si>
  <si>
    <t>唐*达</t>
  </si>
  <si>
    <t>唐*城</t>
  </si>
  <si>
    <t>邱*伟</t>
  </si>
  <si>
    <t>何*全</t>
  </si>
  <si>
    <t>谢*生</t>
  </si>
  <si>
    <t>鲁*英</t>
  </si>
  <si>
    <t>贺*辰</t>
  </si>
  <si>
    <t>蔡*强</t>
  </si>
  <si>
    <t>李*建</t>
  </si>
  <si>
    <t>楚*华</t>
  </si>
  <si>
    <t>陶*园</t>
  </si>
  <si>
    <t>黎*元</t>
  </si>
  <si>
    <t>丁*武</t>
  </si>
  <si>
    <t>张*进</t>
  </si>
  <si>
    <t>张*钢</t>
  </si>
  <si>
    <t>李*之</t>
  </si>
  <si>
    <t>林*成</t>
  </si>
  <si>
    <t>刘*涵</t>
  </si>
  <si>
    <t>平*梅</t>
  </si>
  <si>
    <t>常*宁</t>
  </si>
  <si>
    <t>李*恒</t>
  </si>
  <si>
    <t>周*睿</t>
  </si>
  <si>
    <t>凌*生</t>
  </si>
  <si>
    <t>唐*钧</t>
  </si>
  <si>
    <t>唐*光</t>
  </si>
  <si>
    <t>胡*禹</t>
  </si>
  <si>
    <t>蒋*轩</t>
  </si>
  <si>
    <t>樊*秀</t>
  </si>
  <si>
    <t>蒋*妮</t>
  </si>
  <si>
    <t>吴*欢</t>
  </si>
  <si>
    <t>蔡*清</t>
  </si>
  <si>
    <t>邓*华</t>
  </si>
  <si>
    <t>赵*辉</t>
  </si>
  <si>
    <t>邹*芳</t>
  </si>
  <si>
    <t>胡*强</t>
  </si>
  <si>
    <t>童*钰</t>
  </si>
  <si>
    <t>陈*初</t>
  </si>
  <si>
    <t>肖*琪</t>
  </si>
  <si>
    <t>蒋*忠</t>
  </si>
  <si>
    <t>周*芝</t>
  </si>
  <si>
    <t>戴*球</t>
  </si>
  <si>
    <t>冯*梓</t>
  </si>
  <si>
    <t>邹*华</t>
  </si>
  <si>
    <t>李*三</t>
  </si>
  <si>
    <t>袁*正</t>
  </si>
  <si>
    <t>黄*湘</t>
  </si>
  <si>
    <t>李*芳</t>
  </si>
  <si>
    <t>欧*国庆</t>
  </si>
  <si>
    <t>陈*静</t>
  </si>
  <si>
    <t>杨*红</t>
  </si>
  <si>
    <t>贺*莲</t>
  </si>
  <si>
    <t>陈*永</t>
  </si>
  <si>
    <t>周*平</t>
  </si>
  <si>
    <t>邓*慧</t>
  </si>
  <si>
    <t>田*林</t>
  </si>
  <si>
    <t>谌*花</t>
  </si>
  <si>
    <t>刘*友</t>
  </si>
  <si>
    <t>刘*安</t>
  </si>
  <si>
    <t>廖*泉</t>
  </si>
  <si>
    <t>伍*明</t>
  </si>
  <si>
    <t>唐*刚</t>
  </si>
  <si>
    <t>谭*二</t>
  </si>
  <si>
    <t>楚*霞</t>
  </si>
  <si>
    <t>颜*武</t>
  </si>
  <si>
    <t>颜*</t>
  </si>
  <si>
    <t>张*君</t>
  </si>
  <si>
    <t>许*松</t>
  </si>
  <si>
    <t>张*皓</t>
  </si>
  <si>
    <t>苏*励</t>
  </si>
  <si>
    <t>万*希</t>
  </si>
  <si>
    <t>谭*东</t>
  </si>
  <si>
    <t>吴*新</t>
  </si>
  <si>
    <t>钟*梅</t>
  </si>
  <si>
    <t>彭*钦</t>
  </si>
  <si>
    <t>杨*荣</t>
  </si>
  <si>
    <t>蒋*娴</t>
  </si>
  <si>
    <t>杨*远</t>
  </si>
  <si>
    <t>蒋*新</t>
  </si>
  <si>
    <t>陶*红</t>
  </si>
  <si>
    <t>么*杰</t>
  </si>
  <si>
    <t>奚*德</t>
  </si>
  <si>
    <t>叶*云</t>
  </si>
  <si>
    <t>姚*霆</t>
  </si>
  <si>
    <t>金*常</t>
  </si>
  <si>
    <t>黄*如</t>
  </si>
  <si>
    <t>张*玉</t>
  </si>
  <si>
    <t>廖*雄</t>
  </si>
  <si>
    <t>童*</t>
  </si>
  <si>
    <t>涂*操</t>
  </si>
  <si>
    <t>傅*荣</t>
  </si>
  <si>
    <t>易*伏</t>
  </si>
  <si>
    <t>罗*强</t>
  </si>
  <si>
    <t>罗*加</t>
  </si>
  <si>
    <t>黄*意</t>
  </si>
  <si>
    <t>卢*诚</t>
  </si>
  <si>
    <t>谭*林</t>
  </si>
  <si>
    <t>胡*徽</t>
  </si>
  <si>
    <t>戴*宇</t>
  </si>
  <si>
    <t>郝*</t>
  </si>
  <si>
    <t>邹*辉</t>
  </si>
  <si>
    <t>杨*琴</t>
  </si>
  <si>
    <t>胡*保</t>
  </si>
  <si>
    <t>石*祥</t>
  </si>
  <si>
    <t>任*元</t>
  </si>
  <si>
    <t>唐*零</t>
  </si>
  <si>
    <t>黎*坤</t>
  </si>
  <si>
    <t>付*文</t>
  </si>
  <si>
    <t>李*新</t>
  </si>
  <si>
    <t>谢*明</t>
  </si>
  <si>
    <t>刘*民</t>
  </si>
  <si>
    <t>陈*媛</t>
  </si>
  <si>
    <t>许*桃</t>
  </si>
  <si>
    <t>杨*犀</t>
  </si>
  <si>
    <t>严*坤</t>
  </si>
  <si>
    <t>朱*英</t>
  </si>
  <si>
    <t>杨*泉</t>
  </si>
  <si>
    <t>王*桂</t>
  </si>
  <si>
    <t>熊*军</t>
  </si>
  <si>
    <t>谢*俊</t>
  </si>
  <si>
    <t>杜*芝</t>
  </si>
  <si>
    <t>滕*忠</t>
  </si>
  <si>
    <t>许*华</t>
  </si>
  <si>
    <t>刘*立</t>
  </si>
  <si>
    <t>陈*鸣</t>
  </si>
  <si>
    <t>陈*罗</t>
  </si>
  <si>
    <t>倪*</t>
  </si>
  <si>
    <t>谈*跃</t>
  </si>
  <si>
    <t>欧*立忠</t>
  </si>
  <si>
    <t>许*兰</t>
  </si>
  <si>
    <t>周*康</t>
  </si>
  <si>
    <t>朱*林</t>
  </si>
  <si>
    <t>徐*祥</t>
  </si>
  <si>
    <t>梁*长</t>
  </si>
  <si>
    <t>李*德</t>
  </si>
  <si>
    <t>彭*元</t>
  </si>
  <si>
    <t>李*坚</t>
  </si>
  <si>
    <t>戴*成</t>
  </si>
  <si>
    <t>喻*文</t>
  </si>
  <si>
    <t>叶*铭</t>
  </si>
  <si>
    <t>徐*英</t>
  </si>
  <si>
    <t>张*科</t>
  </si>
  <si>
    <t>肖*放</t>
  </si>
  <si>
    <t>高*林</t>
  </si>
  <si>
    <t>曾*睿</t>
  </si>
  <si>
    <t>贾*轩</t>
  </si>
  <si>
    <t>叶*德</t>
  </si>
  <si>
    <t>曾*满</t>
  </si>
  <si>
    <t>陈*裘</t>
  </si>
  <si>
    <t>钟*瑞</t>
  </si>
  <si>
    <t>陈*仁</t>
  </si>
  <si>
    <t>易*妍</t>
  </si>
  <si>
    <t>吕*玉</t>
  </si>
  <si>
    <t>吴*然</t>
  </si>
  <si>
    <t>唐*星</t>
  </si>
  <si>
    <t>彭*章</t>
  </si>
  <si>
    <t>龙*明</t>
  </si>
  <si>
    <t>晏*莲</t>
  </si>
  <si>
    <t>吴*谦</t>
  </si>
  <si>
    <t>孟*华</t>
  </si>
  <si>
    <t>李*泽</t>
  </si>
  <si>
    <t>陈*石</t>
  </si>
  <si>
    <t>宋*欢</t>
  </si>
  <si>
    <t>朱*和</t>
  </si>
  <si>
    <t>肖*明</t>
  </si>
  <si>
    <t>胡*霞</t>
  </si>
  <si>
    <t>童*远</t>
  </si>
  <si>
    <t>王*弟</t>
  </si>
  <si>
    <t>罗*章</t>
  </si>
  <si>
    <t>王*能</t>
  </si>
  <si>
    <t>刘*万</t>
  </si>
  <si>
    <t>黎*莲</t>
  </si>
  <si>
    <t>张*凡</t>
  </si>
  <si>
    <t>石*泉</t>
  </si>
  <si>
    <t>史*</t>
  </si>
  <si>
    <t>黄*展</t>
  </si>
  <si>
    <t>欧*强</t>
  </si>
  <si>
    <t>余*辉</t>
  </si>
  <si>
    <t>胡*芳</t>
  </si>
  <si>
    <t>韦*元</t>
  </si>
  <si>
    <t>李*璨</t>
  </si>
  <si>
    <t>解*宇</t>
  </si>
  <si>
    <t>侯*杉</t>
  </si>
  <si>
    <t>蒋*莲</t>
  </si>
  <si>
    <t>周*哲</t>
  </si>
  <si>
    <t>李*伟</t>
  </si>
  <si>
    <t>刘*兴</t>
  </si>
  <si>
    <t>彭*年</t>
  </si>
  <si>
    <t>彭*然</t>
  </si>
  <si>
    <t>肖*藻</t>
  </si>
  <si>
    <t>刘*初</t>
  </si>
  <si>
    <t>曹*英</t>
  </si>
  <si>
    <t>金*珍</t>
  </si>
  <si>
    <t>朱*泉</t>
  </si>
  <si>
    <t>张*恺</t>
  </si>
  <si>
    <t>刘*芝</t>
  </si>
  <si>
    <t>丁*晴</t>
  </si>
  <si>
    <t>张*媛</t>
  </si>
  <si>
    <t>肖*松</t>
  </si>
  <si>
    <t>蒋*晖</t>
  </si>
  <si>
    <t>黄*萍</t>
  </si>
  <si>
    <t>柳*</t>
  </si>
  <si>
    <t>陆*霖</t>
  </si>
  <si>
    <t>张*萍</t>
  </si>
  <si>
    <t>黄*晖</t>
  </si>
  <si>
    <t>蔡*航</t>
  </si>
  <si>
    <t>邹*禧</t>
  </si>
  <si>
    <t>张*妹</t>
  </si>
  <si>
    <t>陈*宜</t>
  </si>
  <si>
    <t>任*然</t>
  </si>
  <si>
    <t>何*松</t>
  </si>
  <si>
    <t>刘*澍</t>
  </si>
  <si>
    <t>卢*恩</t>
  </si>
  <si>
    <t>梁*萍</t>
  </si>
  <si>
    <t>李*阳</t>
  </si>
  <si>
    <t>邓*进</t>
  </si>
  <si>
    <t>戴*林</t>
  </si>
  <si>
    <t>严*元</t>
  </si>
  <si>
    <t>唐*海</t>
  </si>
  <si>
    <t>蒋*群</t>
  </si>
  <si>
    <t>张*毅</t>
  </si>
  <si>
    <t>常*林</t>
  </si>
  <si>
    <t>谢*白</t>
  </si>
  <si>
    <t>陈*群</t>
  </si>
  <si>
    <t>汤*其</t>
  </si>
  <si>
    <t>王*毅</t>
  </si>
  <si>
    <t>秦*茹</t>
  </si>
  <si>
    <t>伍*程</t>
  </si>
  <si>
    <t>丁*跃</t>
  </si>
  <si>
    <t>廖*德</t>
  </si>
  <si>
    <t>迟*</t>
  </si>
  <si>
    <t>付*军</t>
  </si>
  <si>
    <t>侯*清</t>
  </si>
  <si>
    <t>孙*民</t>
  </si>
  <si>
    <t>侯*瑀</t>
  </si>
  <si>
    <t>连*威</t>
  </si>
  <si>
    <t>李*贤</t>
  </si>
  <si>
    <t>谭*昂</t>
  </si>
  <si>
    <t>谭*进</t>
  </si>
  <si>
    <t>吴*坚</t>
  </si>
  <si>
    <t>廖*平</t>
  </si>
  <si>
    <t>梁*和</t>
  </si>
  <si>
    <t>袁*珊</t>
  </si>
  <si>
    <t>黄*泉</t>
  </si>
  <si>
    <t>熊*嘉</t>
  </si>
  <si>
    <t>钟*国</t>
  </si>
  <si>
    <t>张*达</t>
  </si>
  <si>
    <t>张*刚</t>
  </si>
  <si>
    <t>段*来</t>
  </si>
  <si>
    <t>谭*琴</t>
  </si>
  <si>
    <t>龚*平</t>
  </si>
  <si>
    <t>欧*连</t>
  </si>
  <si>
    <t>黄*春</t>
  </si>
  <si>
    <t>夏*贵</t>
  </si>
  <si>
    <t>谢*荣</t>
  </si>
  <si>
    <t>曾*梅</t>
  </si>
  <si>
    <t>潘*楚</t>
  </si>
  <si>
    <t>陈*德</t>
  </si>
  <si>
    <t>蒋*彬</t>
  </si>
  <si>
    <t>张*凯</t>
  </si>
  <si>
    <t>陈*富</t>
  </si>
  <si>
    <t>钟*红</t>
  </si>
  <si>
    <t>唐*轩</t>
  </si>
  <si>
    <t>骆*霞</t>
  </si>
  <si>
    <t>周*奇</t>
  </si>
  <si>
    <t>柳*明</t>
  </si>
  <si>
    <t>江*瑶</t>
  </si>
  <si>
    <t>严*芝</t>
  </si>
  <si>
    <t>史*高</t>
  </si>
  <si>
    <t>彭*奇</t>
  </si>
  <si>
    <t>陈*安</t>
  </si>
  <si>
    <t>李*菡</t>
  </si>
  <si>
    <t>廖*玲</t>
  </si>
  <si>
    <t>罗*琦</t>
  </si>
  <si>
    <t>廖*齐</t>
  </si>
  <si>
    <t>谈*华</t>
  </si>
  <si>
    <t>王*帆</t>
  </si>
  <si>
    <t>张*阳</t>
  </si>
  <si>
    <t>陈*雨</t>
  </si>
  <si>
    <t>胡*睿</t>
  </si>
  <si>
    <t>黄*军</t>
  </si>
  <si>
    <t>付*娴</t>
  </si>
  <si>
    <t>李*杨</t>
  </si>
  <si>
    <t>陈*权</t>
  </si>
  <si>
    <t>陈*和</t>
  </si>
  <si>
    <t>柳*东</t>
  </si>
  <si>
    <t>彭*轩</t>
  </si>
  <si>
    <t>夏*辉</t>
  </si>
  <si>
    <t>陈*霞</t>
  </si>
  <si>
    <t>王*涛</t>
  </si>
  <si>
    <t>蒋*灵</t>
  </si>
  <si>
    <t>常*缺</t>
  </si>
  <si>
    <t>谢*卿</t>
  </si>
  <si>
    <t>宋*新</t>
  </si>
  <si>
    <t>尹*雪</t>
  </si>
  <si>
    <t>庞*胜</t>
  </si>
  <si>
    <t>左*航</t>
  </si>
  <si>
    <t>左*远</t>
  </si>
  <si>
    <t>方*学</t>
  </si>
  <si>
    <t>黄*樵</t>
  </si>
  <si>
    <t>程*高</t>
  </si>
  <si>
    <t>谭*均</t>
  </si>
  <si>
    <t>崔*</t>
  </si>
  <si>
    <t>傅*平</t>
  </si>
  <si>
    <t>黄*豪</t>
  </si>
  <si>
    <t>沈*萱</t>
  </si>
  <si>
    <t>范*铭</t>
  </si>
  <si>
    <t>龙*煌</t>
  </si>
  <si>
    <t>吴*仪</t>
  </si>
  <si>
    <t>张*榕</t>
  </si>
  <si>
    <t>廖*仁</t>
  </si>
  <si>
    <t>王*秀</t>
  </si>
  <si>
    <t>宋*刚</t>
  </si>
  <si>
    <t>杨*诚</t>
  </si>
  <si>
    <t>伍*博</t>
  </si>
  <si>
    <t>段*瑶</t>
  </si>
  <si>
    <t>张*姣</t>
  </si>
  <si>
    <t>曹*贵</t>
  </si>
  <si>
    <t xml:space="preserve"> 天心区2022年12月残疾人“两项补贴”审定人员公示（四）</t>
  </si>
  <si>
    <t>张*均</t>
  </si>
  <si>
    <t>张*友</t>
  </si>
  <si>
    <t>王*新</t>
  </si>
  <si>
    <t>魏*程</t>
  </si>
  <si>
    <t>唐*荣</t>
  </si>
  <si>
    <t>余*范</t>
  </si>
  <si>
    <t>曾*立</t>
  </si>
  <si>
    <t>万*龙</t>
  </si>
  <si>
    <t>刘*清</t>
  </si>
  <si>
    <t>贺*花</t>
  </si>
  <si>
    <t>严*坚</t>
  </si>
  <si>
    <t>唐*援</t>
  </si>
  <si>
    <t>陈*曦</t>
  </si>
  <si>
    <t>熊*庆</t>
  </si>
  <si>
    <t>曹*翊</t>
  </si>
  <si>
    <t>彭*涛</t>
  </si>
  <si>
    <t>刘*刚</t>
  </si>
  <si>
    <t>陈*湘</t>
  </si>
  <si>
    <t>袁*林</t>
  </si>
  <si>
    <t>张*正</t>
  </si>
  <si>
    <t>苏*玲</t>
  </si>
  <si>
    <t>余*亚</t>
  </si>
  <si>
    <t>张*晓</t>
  </si>
  <si>
    <t>赵*娟</t>
  </si>
  <si>
    <t>黄*琛</t>
  </si>
  <si>
    <t>宋*逸</t>
  </si>
  <si>
    <t>赵*福</t>
  </si>
  <si>
    <t>杨*帆</t>
  </si>
  <si>
    <t>李*红</t>
  </si>
  <si>
    <t>莫*春</t>
  </si>
  <si>
    <t>谭*其</t>
  </si>
  <si>
    <t>解*钧</t>
  </si>
  <si>
    <t>唐*龙</t>
  </si>
  <si>
    <t>肖*云</t>
  </si>
  <si>
    <t>张*发</t>
  </si>
  <si>
    <t>雷*民</t>
  </si>
  <si>
    <t>唐*睿</t>
  </si>
  <si>
    <t>高*仲</t>
  </si>
  <si>
    <t>王*周</t>
  </si>
  <si>
    <t>易*仁</t>
  </si>
  <si>
    <t>邓*其</t>
  </si>
  <si>
    <t>傅*三</t>
  </si>
  <si>
    <t>彭*彤</t>
  </si>
  <si>
    <t>王*君</t>
  </si>
  <si>
    <t>宋*容</t>
  </si>
  <si>
    <t>万*保</t>
  </si>
  <si>
    <t>许*其</t>
  </si>
  <si>
    <t>张*含</t>
  </si>
  <si>
    <t>李*莲</t>
  </si>
  <si>
    <t>马*昌</t>
  </si>
  <si>
    <t>万*康</t>
  </si>
  <si>
    <t>李*幼</t>
  </si>
  <si>
    <t>佘*辉</t>
  </si>
  <si>
    <t>刘*维</t>
  </si>
  <si>
    <t>黄*佳</t>
  </si>
  <si>
    <t>姚*浩</t>
  </si>
  <si>
    <t>吴*敢</t>
  </si>
  <si>
    <t>马*文</t>
  </si>
  <si>
    <t>陈*光</t>
  </si>
  <si>
    <t>凌*滨</t>
  </si>
  <si>
    <t>昌*珍</t>
  </si>
  <si>
    <t>鲁*民</t>
  </si>
  <si>
    <t>吴*静</t>
  </si>
  <si>
    <t>张*涛</t>
  </si>
  <si>
    <t>浣*良</t>
  </si>
  <si>
    <t>许*檀</t>
  </si>
  <si>
    <t>伍*祎</t>
  </si>
  <si>
    <t>沈*敏</t>
  </si>
  <si>
    <t>游*霞</t>
  </si>
  <si>
    <t>王*前</t>
  </si>
  <si>
    <t>张*德</t>
  </si>
  <si>
    <t>尚*林</t>
  </si>
  <si>
    <t>郑*玉</t>
  </si>
  <si>
    <t>李*亮</t>
  </si>
  <si>
    <t>王*剑</t>
  </si>
  <si>
    <t>罗*良</t>
  </si>
  <si>
    <t>张*力</t>
  </si>
  <si>
    <t>周*忠</t>
  </si>
  <si>
    <t>吴*国</t>
  </si>
  <si>
    <t>汤*秀</t>
  </si>
  <si>
    <t>周*光</t>
  </si>
  <si>
    <t>罗*玉</t>
  </si>
  <si>
    <t>刘*嘉</t>
  </si>
  <si>
    <t>张*帅</t>
  </si>
  <si>
    <t>曹*宁</t>
  </si>
  <si>
    <t>刘*潇</t>
  </si>
  <si>
    <t>朱*鹰</t>
  </si>
  <si>
    <t>林*乔</t>
  </si>
  <si>
    <t>董*保</t>
  </si>
  <si>
    <t>郑*军</t>
  </si>
  <si>
    <t>易*武</t>
  </si>
  <si>
    <t>沈*军</t>
  </si>
  <si>
    <t>吕*英</t>
  </si>
  <si>
    <t>谭*周</t>
  </si>
  <si>
    <t>郑*梅</t>
  </si>
  <si>
    <t>资*昆</t>
  </si>
  <si>
    <t>金*华</t>
  </si>
  <si>
    <t>周*斌</t>
  </si>
  <si>
    <t>饶*雄</t>
  </si>
  <si>
    <t>杨*之</t>
  </si>
  <si>
    <t>焦*艳</t>
  </si>
  <si>
    <t>宋*仙</t>
  </si>
  <si>
    <t>谭*力</t>
  </si>
  <si>
    <t>杜*利</t>
  </si>
  <si>
    <t>郝*国</t>
  </si>
  <si>
    <t>齐*</t>
  </si>
  <si>
    <t>辜*英</t>
  </si>
  <si>
    <t>高*旭</t>
  </si>
  <si>
    <t>丰*一</t>
  </si>
  <si>
    <t>胡*阳</t>
  </si>
  <si>
    <t>杨*武</t>
  </si>
  <si>
    <t>杨*忠</t>
  </si>
  <si>
    <t>陈*荃</t>
  </si>
  <si>
    <t>蒋*</t>
  </si>
  <si>
    <t>朱*伟</t>
  </si>
  <si>
    <t>冯*玉</t>
  </si>
  <si>
    <t>贺*海</t>
  </si>
  <si>
    <t>阳*宸</t>
  </si>
  <si>
    <t>戴*复</t>
  </si>
  <si>
    <t>唐*芳</t>
  </si>
  <si>
    <t>隆*奎</t>
  </si>
  <si>
    <t>邹*科</t>
  </si>
  <si>
    <t>扈*庆</t>
  </si>
  <si>
    <t>巢*伟</t>
  </si>
  <si>
    <t>李*曦</t>
  </si>
  <si>
    <t>谢*建</t>
  </si>
  <si>
    <t>周*人</t>
  </si>
  <si>
    <t>康*云</t>
  </si>
  <si>
    <t>杨*怡</t>
  </si>
  <si>
    <t>常*文</t>
  </si>
  <si>
    <t>廖*江</t>
  </si>
  <si>
    <t>李*宸</t>
  </si>
  <si>
    <t>周*雄</t>
  </si>
  <si>
    <t>许*安</t>
  </si>
  <si>
    <t>丁*平</t>
  </si>
  <si>
    <t>张*利</t>
  </si>
  <si>
    <t>唐*文</t>
  </si>
  <si>
    <t>舒*</t>
  </si>
  <si>
    <t>郭*安</t>
  </si>
  <si>
    <t>曹*辉</t>
  </si>
  <si>
    <t>王*龙</t>
  </si>
  <si>
    <t>周*梅</t>
  </si>
  <si>
    <t>陈*春</t>
  </si>
  <si>
    <t>谢*纯</t>
  </si>
  <si>
    <t>浣*兴</t>
  </si>
  <si>
    <t>张*铭</t>
  </si>
  <si>
    <t>罗*华</t>
  </si>
  <si>
    <t>周*桂</t>
  </si>
  <si>
    <t>冷*</t>
  </si>
  <si>
    <t>周*钰</t>
  </si>
  <si>
    <t>刘*涛</t>
  </si>
  <si>
    <t>杨*云</t>
  </si>
  <si>
    <t>苏*红</t>
  </si>
  <si>
    <t>赵*茗</t>
  </si>
  <si>
    <t>王*鸽</t>
  </si>
  <si>
    <t>赵*春</t>
  </si>
  <si>
    <t>王*雄</t>
  </si>
  <si>
    <t>黄*千</t>
  </si>
  <si>
    <t>李*锐</t>
  </si>
  <si>
    <t>陈*青</t>
  </si>
  <si>
    <t>何*本</t>
  </si>
  <si>
    <t>李*洪</t>
  </si>
  <si>
    <t>刘*婷</t>
  </si>
  <si>
    <t>严*国</t>
  </si>
  <si>
    <t>虞*</t>
  </si>
  <si>
    <t>朱*莲</t>
  </si>
  <si>
    <t>熊*辉</t>
  </si>
  <si>
    <t>严*如</t>
  </si>
  <si>
    <t>曾*俊</t>
  </si>
  <si>
    <t>丁*富</t>
  </si>
  <si>
    <t>柏*</t>
  </si>
  <si>
    <t>易*天</t>
  </si>
  <si>
    <t>邓*珍</t>
  </si>
  <si>
    <t>尹*明</t>
  </si>
  <si>
    <t>彭*昆</t>
  </si>
  <si>
    <t>蒋*芳</t>
  </si>
  <si>
    <t>过*琴</t>
  </si>
  <si>
    <t>陈*先</t>
  </si>
  <si>
    <t>严*芳</t>
  </si>
  <si>
    <t>陈*军</t>
  </si>
  <si>
    <t>许*山</t>
  </si>
  <si>
    <t>欧*毅</t>
  </si>
  <si>
    <t>李*桦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</si>
</sst>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8">
    <font>
      <sz val="11"/>
      <color theme="1"/>
      <name val="Tahoma"/>
      <charset val="134"/>
    </font>
    <font>
      <sz val="12"/>
      <color theme="1"/>
      <name val="仿宋_GB2312"/>
      <charset val="134"/>
    </font>
    <font>
      <sz val="16"/>
      <color theme="1"/>
      <name val="方正小标宋简体"/>
      <charset val="134"/>
    </font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0"/>
      <name val="Tahoma"/>
      <charset val="134"/>
    </font>
    <font>
      <b/>
      <sz val="11"/>
      <color rgb="FFFA7D00"/>
      <name val="Tahoma"/>
      <charset val="134"/>
    </font>
    <font>
      <b/>
      <sz val="11"/>
      <color rgb="FF3F3F3F"/>
      <name val="Tahoma"/>
      <charset val="134"/>
    </font>
    <font>
      <sz val="11"/>
      <color rgb="FFFA7D00"/>
      <name val="Tahoma"/>
      <charset val="134"/>
    </font>
    <font>
      <sz val="11"/>
      <color rgb="FFFF0000"/>
      <name val="Tahoma"/>
      <charset val="134"/>
    </font>
    <font>
      <b/>
      <sz val="15"/>
      <color theme="3"/>
      <name val="Tahoma"/>
      <charset val="134"/>
    </font>
    <font>
      <b/>
      <sz val="11"/>
      <color rgb="FFFA7D00"/>
      <name val="宋体"/>
      <charset val="134"/>
      <scheme val="minor"/>
    </font>
    <font>
      <b/>
      <sz val="11"/>
      <color theme="3"/>
      <name val="Tahoma"/>
      <charset val="134"/>
    </font>
    <font>
      <u/>
      <sz val="11"/>
      <color rgb="FF800080"/>
      <name val="宋体"/>
      <charset val="0"/>
      <scheme val="minor"/>
    </font>
    <font>
      <sz val="11"/>
      <color rgb="FF3F3F76"/>
      <name val="Tahoma"/>
      <charset val="134"/>
    </font>
    <font>
      <b/>
      <sz val="11"/>
      <color theme="1"/>
      <name val="Tahoma"/>
      <charset val="134"/>
    </font>
    <font>
      <i/>
      <sz val="11"/>
      <color rgb="FF7F7F7F"/>
      <name val="Tahoma"/>
      <charset val="134"/>
    </font>
    <font>
      <b/>
      <sz val="15"/>
      <color theme="3"/>
      <name val="宋体"/>
      <charset val="134"/>
      <scheme val="minor"/>
    </font>
    <font>
      <sz val="11"/>
      <color rgb="FF006100"/>
      <name val="Tahoma"/>
      <charset val="134"/>
    </font>
    <font>
      <u/>
      <sz val="11"/>
      <color rgb="FF0000FF"/>
      <name val="宋体"/>
      <charset val="0"/>
      <scheme val="minor"/>
    </font>
    <font>
      <sz val="11"/>
      <color rgb="FF9C6500"/>
      <name val="Tahoma"/>
      <charset val="134"/>
    </font>
    <font>
      <b/>
      <sz val="13"/>
      <color theme="3"/>
      <name val="Tahoma"/>
      <charset val="134"/>
    </font>
    <font>
      <sz val="11"/>
      <color rgb="FF9C0006"/>
      <name val="Tahoma"/>
      <charset val="134"/>
    </font>
    <font>
      <b/>
      <sz val="11"/>
      <color theme="0"/>
      <name val="Tahoma"/>
      <charset val="134"/>
    </font>
    <font>
      <b/>
      <sz val="18"/>
      <color theme="3"/>
      <name val="宋体"/>
      <charset val="134"/>
      <scheme val="major"/>
    </font>
    <font>
      <b/>
      <sz val="11"/>
      <color rgb="FF3F3F3F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3F3F76"/>
      <name val="宋体"/>
      <charset val="134"/>
      <scheme val="minor"/>
    </font>
    <font>
      <i/>
      <sz val="11"/>
      <color rgb="FF7F7F7F"/>
      <name val="宋体"/>
      <charset val="134"/>
      <scheme val="minor"/>
    </font>
  </fonts>
  <fills count="4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7" tint="0.799951170384838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thick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399945066682943"/>
      </bottom>
      <diagonal/>
    </border>
  </borders>
  <cellStyleXfs count="517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7" fillId="10" borderId="3" applyNumberFormat="0" applyAlignment="0" applyProtection="0">
      <alignment vertical="center"/>
    </xf>
    <xf numFmtId="0" fontId="14" fillId="23" borderId="2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1" fillId="10" borderId="2" applyNumberFormat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5" borderId="1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5" borderId="1" applyNumberFormat="0" applyFon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5" borderId="1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10" borderId="3" applyNumberFormat="0" applyAlignment="0" applyProtection="0">
      <alignment vertical="center"/>
    </xf>
    <xf numFmtId="0" fontId="0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6" fillId="10" borderId="2" applyNumberFormat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30" borderId="9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7" fillId="10" borderId="3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5" fillId="10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7" fillId="10" borderId="3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10" borderId="2" applyNumberFormat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10" borderId="2" applyNumberFormat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0" borderId="2" applyNumberFormat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5" borderId="1" applyNumberFormat="0" applyFont="0" applyAlignment="0" applyProtection="0">
      <alignment vertical="center"/>
    </xf>
    <xf numFmtId="0" fontId="3" fillId="4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5" borderId="1" applyNumberFormat="0" applyFon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5" borderId="1" applyNumberFormat="0" applyFon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5" borderId="1" applyNumberFormat="0" applyFon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5" borderId="1" applyNumberFormat="0" applyFont="0" applyAlignment="0" applyProtection="0">
      <alignment vertical="center"/>
    </xf>
    <xf numFmtId="0" fontId="0" fillId="5" borderId="1" applyNumberFormat="0" applyFon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5" borderId="1" applyNumberFormat="0" applyFont="0" applyAlignment="0" applyProtection="0">
      <alignment vertical="center"/>
    </xf>
    <xf numFmtId="0" fontId="0" fillId="5" borderId="1" applyNumberFormat="0" applyFon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5" borderId="1" applyNumberFormat="0" applyFont="0" applyAlignment="0" applyProtection="0">
      <alignment vertical="center"/>
    </xf>
    <xf numFmtId="0" fontId="0" fillId="5" borderId="1" applyNumberFormat="0" applyFon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5" fillId="30" borderId="9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30" borderId="9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23" fillId="30" borderId="9" applyNumberFormat="0" applyAlignment="0" applyProtection="0">
      <alignment vertical="center"/>
    </xf>
    <xf numFmtId="0" fontId="23" fillId="30" borderId="9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0" fillId="5" borderId="1" applyNumberFormat="0" applyFont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0" fillId="5" borderId="1" applyNumberFormat="0" applyFon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0" fillId="5" borderId="1" applyNumberFormat="0" applyFon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0" fillId="5" borderId="1" applyNumberFormat="0" applyFon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36" fillId="23" borderId="2" applyNumberFormat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4" fillId="23" borderId="2" applyNumberFormat="0" applyAlignment="0" applyProtection="0">
      <alignment vertical="center"/>
    </xf>
    <xf numFmtId="0" fontId="14" fillId="23" borderId="2" applyNumberFormat="0" applyAlignment="0" applyProtection="0">
      <alignment vertical="center"/>
    </xf>
    <xf numFmtId="0" fontId="14" fillId="23" borderId="2" applyNumberFormat="0" applyAlignment="0" applyProtection="0">
      <alignment vertical="center"/>
    </xf>
    <xf numFmtId="0" fontId="0" fillId="5" borderId="1" applyNumberFormat="0" applyFont="0" applyAlignment="0" applyProtection="0">
      <alignment vertical="center"/>
    </xf>
    <xf numFmtId="0" fontId="0" fillId="5" borderId="1" applyNumberFormat="0" applyFont="0" applyAlignment="0" applyProtection="0">
      <alignment vertical="center"/>
    </xf>
    <xf numFmtId="0" fontId="0" fillId="5" borderId="1" applyNumberFormat="0" applyFont="0" applyAlignment="0" applyProtection="0">
      <alignment vertical="center"/>
    </xf>
    <xf numFmtId="0" fontId="0" fillId="5" borderId="1" applyNumberFormat="0" applyFont="0" applyAlignment="0" applyProtection="0">
      <alignment vertical="center"/>
    </xf>
    <xf numFmtId="0" fontId="3" fillId="5" borderId="1" applyNumberFormat="0" applyFont="0" applyAlignment="0" applyProtection="0">
      <alignment vertical="center"/>
    </xf>
    <xf numFmtId="0" fontId="0" fillId="5" borderId="1" applyNumberFormat="0" applyFont="0" applyAlignment="0" applyProtection="0">
      <alignment vertical="center"/>
    </xf>
    <xf numFmtId="0" fontId="0" fillId="5" borderId="1" applyNumberFormat="0" applyFont="0" applyAlignment="0" applyProtection="0">
      <alignment vertical="center"/>
    </xf>
    <xf numFmtId="0" fontId="0" fillId="5" borderId="1" applyNumberFormat="0" applyFont="0" applyAlignment="0" applyProtection="0">
      <alignment vertical="center"/>
    </xf>
    <xf numFmtId="0" fontId="0" fillId="5" borderId="1" applyNumberFormat="0" applyFont="0" applyAlignment="0" applyProtection="0">
      <alignment vertical="center"/>
    </xf>
    <xf numFmtId="0" fontId="0" fillId="5" borderId="1" applyNumberFormat="0" applyFont="0" applyAlignment="0" applyProtection="0">
      <alignment vertical="center"/>
    </xf>
    <xf numFmtId="0" fontId="0" fillId="5" borderId="1" applyNumberFormat="0" applyFont="0" applyAlignment="0" applyProtection="0">
      <alignment vertical="center"/>
    </xf>
    <xf numFmtId="0" fontId="0" fillId="5" borderId="1" applyNumberFormat="0" applyFont="0" applyAlignment="0" applyProtection="0">
      <alignment vertical="center"/>
    </xf>
    <xf numFmtId="0" fontId="0" fillId="5" borderId="1" applyNumberFormat="0" applyFont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465" applyFont="1" applyBorder="1" applyAlignment="1">
      <alignment horizontal="center" vertical="center"/>
    </xf>
    <xf numFmtId="0" fontId="0" fillId="0" borderId="0" xfId="460" applyBorder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</cellXfs>
  <cellStyles count="517">
    <cellStyle name="常规" xfId="0" builtinId="0"/>
    <cellStyle name="货币[0]" xfId="1" builtinId="7"/>
    <cellStyle name="20% - 强调文字颜色 1 20" xfId="2"/>
    <cellStyle name="20% - 强调文字颜色 1 15" xfId="3"/>
    <cellStyle name="40% - 强调文字颜色 2 16" xfId="4"/>
    <cellStyle name="40% - 强调文字颜色 2 21" xfId="5"/>
    <cellStyle name="强调文字颜色 2 5" xfId="6"/>
    <cellStyle name="20% - 强调文字颜色 1 2" xfId="7"/>
    <cellStyle name="20% - 强调文字颜色 3" xfId="8" builtinId="38"/>
    <cellStyle name="链接单元格 5" xfId="9"/>
    <cellStyle name="输出 3" xfId="10"/>
    <cellStyle name="输入" xfId="11" builtinId="20"/>
    <cellStyle name="20% - 强调文字颜色 3 26" xfId="12"/>
    <cellStyle name="货币" xfId="13" builtinId="4"/>
    <cellStyle name="40% - 强调文字颜色 1 13" xfId="14"/>
    <cellStyle name="千位分隔[0]" xfId="15" builtinId="6"/>
    <cellStyle name="40% - 强调文字颜色 3" xfId="16" builtinId="39"/>
    <cellStyle name="计算 2" xfId="17"/>
    <cellStyle name="差" xfId="18" builtinId="27"/>
    <cellStyle name="千位分隔" xfId="19" builtinId="3"/>
    <cellStyle name="60% - 强调文字颜色 3" xfId="20" builtinId="40"/>
    <cellStyle name="超链接" xfId="21" builtinId="8"/>
    <cellStyle name="百分比" xfId="22" builtinId="5"/>
    <cellStyle name="20% - 强调文字颜色 1 11" xfId="23"/>
    <cellStyle name="40% - 强调文字颜色 2 12" xfId="24"/>
    <cellStyle name="已访问的超链接" xfId="25" builtinId="9"/>
    <cellStyle name="注释" xfId="26" builtinId="10"/>
    <cellStyle name="60% - 强调文字颜色 2 3" xfId="27"/>
    <cellStyle name="20% - 强调文字颜色 4 5" xfId="28"/>
    <cellStyle name="常规 6" xfId="29"/>
    <cellStyle name="注释 13" xfId="30"/>
    <cellStyle name="40% - 强调文字颜色 3 9" xfId="31"/>
    <cellStyle name="60% - 强调文字颜色 2" xfId="32" builtinId="36"/>
    <cellStyle name="标题 4" xfId="33" builtinId="19"/>
    <cellStyle name="注释 5" xfId="34"/>
    <cellStyle name="警告文本" xfId="35" builtinId="11"/>
    <cellStyle name="40% - 强调文字颜色 3 10" xfId="36"/>
    <cellStyle name="20% - 强调文字颜色 6 26" xfId="37"/>
    <cellStyle name="标题" xfId="38" builtinId="15"/>
    <cellStyle name="解释性文本" xfId="39" builtinId="53"/>
    <cellStyle name="标题 1" xfId="40" builtinId="16"/>
    <cellStyle name="标题 2" xfId="41" builtinId="17"/>
    <cellStyle name="40% - 强调文字颜色 3 8" xfId="42"/>
    <cellStyle name="60% - 强调文字颜色 1" xfId="43" builtinId="32"/>
    <cellStyle name="标题 3" xfId="44" builtinId="18"/>
    <cellStyle name="60% - 强调文字颜色 4" xfId="45" builtinId="44"/>
    <cellStyle name="输出" xfId="46" builtinId="21"/>
    <cellStyle name="常规 26" xfId="47"/>
    <cellStyle name="20% - 强调文字颜色 4 16" xfId="48"/>
    <cellStyle name="20% - 强调文字颜色 4 21" xfId="49"/>
    <cellStyle name="40% - 强调文字颜色 5 17" xfId="50"/>
    <cellStyle name="40% - 强调文字颜色 5 22" xfId="51"/>
    <cellStyle name="计算" xfId="52" builtinId="22"/>
    <cellStyle name="40% - 强调文字颜色 4 2" xfId="53"/>
    <cellStyle name="检查单元格" xfId="54" builtinId="23"/>
    <cellStyle name="20% - 强调文字颜色 6" xfId="55" builtinId="50"/>
    <cellStyle name="20% - 强调文字颜色 2 26" xfId="56"/>
    <cellStyle name="强调文字颜色 2" xfId="57" builtinId="33"/>
    <cellStyle name="40% - 强调文字颜色 5 7" xfId="58"/>
    <cellStyle name="链接单元格" xfId="59" builtinId="24"/>
    <cellStyle name="40% - 强调文字颜色 6 5" xfId="60"/>
    <cellStyle name="汇总" xfId="61" builtinId="25"/>
    <cellStyle name="好" xfId="62" builtinId="26"/>
    <cellStyle name="适中" xfId="63" builtinId="28"/>
    <cellStyle name="20% - 强调文字颜色 5 14" xfId="64"/>
    <cellStyle name="40% - 强调文字颜色 6 15" xfId="65"/>
    <cellStyle name="40% - 强调文字颜色 6 20" xfId="66"/>
    <cellStyle name="20% - 强调文字颜色 3 3" xfId="67"/>
    <cellStyle name="输出 5" xfId="68"/>
    <cellStyle name="20% - 强调文字颜色 5" xfId="69" builtinId="46"/>
    <cellStyle name="20% - 强调文字颜色 2 25" xfId="70"/>
    <cellStyle name="40% - 强调文字颜色 3 26" xfId="71"/>
    <cellStyle name="强调文字颜色 1" xfId="72" builtinId="29"/>
    <cellStyle name="链接单元格 3" xfId="73"/>
    <cellStyle name="20% - 强调文字颜色 1" xfId="74" builtinId="30"/>
    <cellStyle name="40% - 强调文字颜色 1" xfId="75" builtinId="31"/>
    <cellStyle name="输出 2" xfId="76"/>
    <cellStyle name="链接单元格 4" xfId="77"/>
    <cellStyle name="20% - 强调文字颜色 2" xfId="78" builtinId="34"/>
    <cellStyle name="40% - 强调文字颜色 2" xfId="79" builtinId="35"/>
    <cellStyle name="强调文字颜色 3" xfId="80" builtinId="37"/>
    <cellStyle name="强调文字颜色 4" xfId="81" builtinId="41"/>
    <cellStyle name="输出 4" xfId="82"/>
    <cellStyle name="20% - 强调文字颜色 4" xfId="83" builtinId="42"/>
    <cellStyle name="计算 3" xfId="84"/>
    <cellStyle name="40% - 强调文字颜色 4" xfId="85" builtinId="43"/>
    <cellStyle name="强调文字颜色 5" xfId="86" builtinId="45"/>
    <cellStyle name="计算 4" xfId="87"/>
    <cellStyle name="40% - 强调文字颜色 5" xfId="88" builtinId="47"/>
    <cellStyle name="60% - 强调文字颜色 5" xfId="89" builtinId="48"/>
    <cellStyle name="强调文字颜色 6" xfId="90" builtinId="49"/>
    <cellStyle name="计算 5" xfId="91"/>
    <cellStyle name="适中 2" xfId="92"/>
    <cellStyle name="40% - 强调文字颜色 6" xfId="93" builtinId="51"/>
    <cellStyle name="60% - 强调文字颜色 6" xfId="94" builtinId="52"/>
    <cellStyle name="20% - 强调文字颜色 1 23" xfId="95"/>
    <cellStyle name="20% - 强调文字颜色 1 18" xfId="96"/>
    <cellStyle name="40% - 强调文字颜色 2 19" xfId="97"/>
    <cellStyle name="40% - 强调文字颜色 2 24" xfId="98"/>
    <cellStyle name="20% - 强调文字颜色 1 22" xfId="99"/>
    <cellStyle name="20% - 强调文字颜色 1 17" xfId="100"/>
    <cellStyle name="40% - 强调文字颜色 2 18" xfId="101"/>
    <cellStyle name="40% - 强调文字颜色 2 23" xfId="102"/>
    <cellStyle name="20% - 强调文字颜色 1 13" xfId="103"/>
    <cellStyle name="40% - 强调文字颜色 2 14" xfId="104"/>
    <cellStyle name="强调文字颜色 2 3" xfId="105"/>
    <cellStyle name="20% - 强调文字颜色 1 14" xfId="106"/>
    <cellStyle name="40% - 强调文字颜色 2 15" xfId="107"/>
    <cellStyle name="40% - 强调文字颜色 2 20" xfId="108"/>
    <cellStyle name="强调文字颜色 2 4" xfId="109"/>
    <cellStyle name="20% - 强调文字颜色 1 24" xfId="110"/>
    <cellStyle name="20% - 强调文字颜色 1 19" xfId="111"/>
    <cellStyle name="40% - 强调文字颜色 2 25" xfId="112"/>
    <cellStyle name="20% - 强调文字颜色 1 21" xfId="113"/>
    <cellStyle name="20% - 强调文字颜色 1 16" xfId="114"/>
    <cellStyle name="40% - 强调文字颜色 2 17" xfId="115"/>
    <cellStyle name="40% - 强调文字颜色 2 22" xfId="116"/>
    <cellStyle name="20% - 强调文字颜色 1 10" xfId="117"/>
    <cellStyle name="40% - 强调文字颜色 2 11" xfId="118"/>
    <cellStyle name="20% - 强调文字颜色 1 12" xfId="119"/>
    <cellStyle name="40% - 强调文字颜色 2 13" xfId="120"/>
    <cellStyle name="强调文字颜色 2 2" xfId="121"/>
    <cellStyle name="20% - 强调文字颜色 1 25" xfId="122"/>
    <cellStyle name="40% - 强调文字颜色 2 26" xfId="123"/>
    <cellStyle name="20% - 强调文字颜色 1 26" xfId="124"/>
    <cellStyle name="20% - 强调文字颜色 1 3" xfId="125"/>
    <cellStyle name="20% - 强调文字颜色 1 4" xfId="126"/>
    <cellStyle name="好 2" xfId="127"/>
    <cellStyle name="20% - 强调文字颜色 1 5" xfId="128"/>
    <cellStyle name="好 3" xfId="129"/>
    <cellStyle name="20% - 强调文字颜色 1 6" xfId="130"/>
    <cellStyle name="好 4" xfId="131"/>
    <cellStyle name="20% - 强调文字颜色 1 7" xfId="132"/>
    <cellStyle name="好 5" xfId="133"/>
    <cellStyle name="20% - 强调文字颜色 1 8" xfId="134"/>
    <cellStyle name="20% - 强调文字颜色 1 9" xfId="135"/>
    <cellStyle name="20% - 强调文字颜色 2 10" xfId="136"/>
    <cellStyle name="40% - 强调文字颜色 3 11" xfId="137"/>
    <cellStyle name="20% - 强调文字颜色 2 11" xfId="138"/>
    <cellStyle name="40% - 强调文字颜色 3 12" xfId="139"/>
    <cellStyle name="20% - 强调文字颜色 2 12" xfId="140"/>
    <cellStyle name="40% - 强调文字颜色 3 13" xfId="141"/>
    <cellStyle name="20% - 强调文字颜色 2 13" xfId="142"/>
    <cellStyle name="40% - 强调文字颜色 3 14" xfId="143"/>
    <cellStyle name="20% - 强调文字颜色 2 14" xfId="144"/>
    <cellStyle name="40% - 强调文字颜色 3 15" xfId="145"/>
    <cellStyle name="40% - 强调文字颜色 3 20" xfId="146"/>
    <cellStyle name="20% - 强调文字颜色 2 15" xfId="147"/>
    <cellStyle name="20% - 强调文字颜色 2 20" xfId="148"/>
    <cellStyle name="40% - 强调文字颜色 3 16" xfId="149"/>
    <cellStyle name="40% - 强调文字颜色 3 21" xfId="150"/>
    <cellStyle name="20% - 强调文字颜色 2 16" xfId="151"/>
    <cellStyle name="20% - 强调文字颜色 2 21" xfId="152"/>
    <cellStyle name="40% - 强调文字颜色 3 17" xfId="153"/>
    <cellStyle name="40% - 强调文字颜色 3 22" xfId="154"/>
    <cellStyle name="20% - 强调文字颜色 2 17" xfId="155"/>
    <cellStyle name="20% - 强调文字颜色 2 22" xfId="156"/>
    <cellStyle name="40% - 强调文字颜色 3 18" xfId="157"/>
    <cellStyle name="40% - 强调文字颜色 3 23" xfId="158"/>
    <cellStyle name="20% - 强调文字颜色 2 18" xfId="159"/>
    <cellStyle name="20% - 强调文字颜色 2 23" xfId="160"/>
    <cellStyle name="40% - 强调文字颜色 3 19" xfId="161"/>
    <cellStyle name="40% - 强调文字颜色 3 24" xfId="162"/>
    <cellStyle name="20% - 强调文字颜色 2 19" xfId="163"/>
    <cellStyle name="20% - 强调文字颜色 2 24" xfId="164"/>
    <cellStyle name="40% - 强调文字颜色 3 25" xfId="165"/>
    <cellStyle name="20% - 强调文字颜色 2 2" xfId="166"/>
    <cellStyle name="20% - 强调文字颜色 2 3" xfId="167"/>
    <cellStyle name="20% - 强调文字颜色 2 4" xfId="168"/>
    <cellStyle name="20% - 强调文字颜色 2 5" xfId="169"/>
    <cellStyle name="20% - 强调文字颜色 2 6" xfId="170"/>
    <cellStyle name="20% - 强调文字颜色 2 7" xfId="171"/>
    <cellStyle name="20% - 强调文字颜色 2 8" xfId="172"/>
    <cellStyle name="20% - 强调文字颜色 2 9" xfId="173"/>
    <cellStyle name="20% - 强调文字颜色 3 10" xfId="174"/>
    <cellStyle name="40% - 强调文字颜色 4 11" xfId="175"/>
    <cellStyle name="40% - 强调文字颜色 2 4" xfId="176"/>
    <cellStyle name="20% - 强调文字颜色 3 11" xfId="177"/>
    <cellStyle name="40% - 强调文字颜色 4 12" xfId="178"/>
    <cellStyle name="40% - 强调文字颜色 2 5" xfId="179"/>
    <cellStyle name="20% - 强调文字颜色 3 12" xfId="180"/>
    <cellStyle name="40% - 强调文字颜色 4 13" xfId="181"/>
    <cellStyle name="40% - 强调文字颜色 2 6" xfId="182"/>
    <cellStyle name="20% - 强调文字颜色 3 13" xfId="183"/>
    <cellStyle name="40% - 强调文字颜色 4 14" xfId="184"/>
    <cellStyle name="40% - 强调文字颜色 2 7" xfId="185"/>
    <cellStyle name="20% - 强调文字颜色 3 14" xfId="186"/>
    <cellStyle name="40% - 强调文字颜色 4 15" xfId="187"/>
    <cellStyle name="40% - 强调文字颜色 4 20" xfId="188"/>
    <cellStyle name="40% - 强调文字颜色 2 8" xfId="189"/>
    <cellStyle name="20% - 强调文字颜色 3 15" xfId="190"/>
    <cellStyle name="20% - 强调文字颜色 3 20" xfId="191"/>
    <cellStyle name="40% - 强调文字颜色 4 16" xfId="192"/>
    <cellStyle name="40% - 强调文字颜色 4 21" xfId="193"/>
    <cellStyle name="40% - 强调文字颜色 2 9" xfId="194"/>
    <cellStyle name="20% - 强调文字颜色 3 16" xfId="195"/>
    <cellStyle name="20% - 强调文字颜色 3 21" xfId="196"/>
    <cellStyle name="40% - 强调文字颜色 4 17" xfId="197"/>
    <cellStyle name="40% - 强调文字颜色 4 22" xfId="198"/>
    <cellStyle name="20% - 强调文字颜色 3 17" xfId="199"/>
    <cellStyle name="20% - 强调文字颜色 3 22" xfId="200"/>
    <cellStyle name="40% - 强调文字颜色 4 18" xfId="201"/>
    <cellStyle name="40% - 强调文字颜色 4 23" xfId="202"/>
    <cellStyle name="汇总 2" xfId="203"/>
    <cellStyle name="20% - 强调文字颜色 3 18" xfId="204"/>
    <cellStyle name="20% - 强调文字颜色 3 23" xfId="205"/>
    <cellStyle name="40% - 强调文字颜色 4 19" xfId="206"/>
    <cellStyle name="40% - 强调文字颜色 4 24" xfId="207"/>
    <cellStyle name="汇总 3" xfId="208"/>
    <cellStyle name="20% - 强调文字颜色 3 19" xfId="209"/>
    <cellStyle name="20% - 强调文字颜色 3 24" xfId="210"/>
    <cellStyle name="40% - 强调文字颜色 4 25" xfId="211"/>
    <cellStyle name="汇总 4" xfId="212"/>
    <cellStyle name="20% - 强调文字颜色 5 13" xfId="213"/>
    <cellStyle name="40% - 强调文字颜色 6 14" xfId="214"/>
    <cellStyle name="20% - 强调文字颜色 3 2" xfId="215"/>
    <cellStyle name="20% - 强调文字颜色 3 25" xfId="216"/>
    <cellStyle name="40% - 强调文字颜色 4 26" xfId="217"/>
    <cellStyle name="汇总 5" xfId="218"/>
    <cellStyle name="20% - 强调文字颜色 5 15" xfId="219"/>
    <cellStyle name="20% - 强调文字颜色 5 20" xfId="220"/>
    <cellStyle name="40% - 强调文字颜色 6 16" xfId="221"/>
    <cellStyle name="40% - 强调文字颜色 6 21" xfId="222"/>
    <cellStyle name="60% - 强调文字颜色 1 2" xfId="223"/>
    <cellStyle name="20% - 强调文字颜色 3 4" xfId="224"/>
    <cellStyle name="20% - 强调文字颜色 5 16" xfId="225"/>
    <cellStyle name="20% - 强调文字颜色 5 21" xfId="226"/>
    <cellStyle name="40% - 强调文字颜色 6 17" xfId="227"/>
    <cellStyle name="40% - 强调文字颜色 6 22" xfId="228"/>
    <cellStyle name="60% - 强调文字颜色 1 3" xfId="229"/>
    <cellStyle name="20% - 强调文字颜色 3 5" xfId="230"/>
    <cellStyle name="20% - 强调文字颜色 5 17" xfId="231"/>
    <cellStyle name="20% - 强调文字颜色 5 22" xfId="232"/>
    <cellStyle name="40% - 强调文字颜色 6 18" xfId="233"/>
    <cellStyle name="40% - 强调文字颜色 6 23" xfId="234"/>
    <cellStyle name="60% - 强调文字颜色 1 4" xfId="235"/>
    <cellStyle name="20% - 强调文字颜色 3 6" xfId="236"/>
    <cellStyle name="20% - 强调文字颜色 5 18" xfId="237"/>
    <cellStyle name="20% - 强调文字颜色 5 23" xfId="238"/>
    <cellStyle name="40% - 强调文字颜色 6 19" xfId="239"/>
    <cellStyle name="40% - 强调文字颜色 6 24" xfId="240"/>
    <cellStyle name="60% - 强调文字颜色 1 5" xfId="241"/>
    <cellStyle name="20% - 强调文字颜色 3 7" xfId="242"/>
    <cellStyle name="20% - 强调文字颜色 5 19" xfId="243"/>
    <cellStyle name="20% - 强调文字颜色 5 24" xfId="244"/>
    <cellStyle name="40% - 强调文字颜色 6 25" xfId="245"/>
    <cellStyle name="20% - 强调文字颜色 3 8" xfId="246"/>
    <cellStyle name="20% - 强调文字颜色 5 25" xfId="247"/>
    <cellStyle name="40% - 强调文字颜色 6 26" xfId="248"/>
    <cellStyle name="20% - 强调文字颜色 3 9" xfId="249"/>
    <cellStyle name="常规 15" xfId="250"/>
    <cellStyle name="常规 20" xfId="251"/>
    <cellStyle name="20% - 强调文字颜色 4 10" xfId="252"/>
    <cellStyle name="40% - 强调文字颜色 5 11" xfId="253"/>
    <cellStyle name="常规 16" xfId="254"/>
    <cellStyle name="常规 21" xfId="255"/>
    <cellStyle name="20% - 强调文字颜色 4 11" xfId="256"/>
    <cellStyle name="40% - 强调文字颜色 5 12" xfId="257"/>
    <cellStyle name="常规 17" xfId="258"/>
    <cellStyle name="常规 22" xfId="259"/>
    <cellStyle name="20% - 强调文字颜色 4 12" xfId="260"/>
    <cellStyle name="40% - 强调文字颜色 5 13" xfId="261"/>
    <cellStyle name="常规 18" xfId="262"/>
    <cellStyle name="常规 23" xfId="263"/>
    <cellStyle name="20% - 强调文字颜色 4 13" xfId="264"/>
    <cellStyle name="40% - 强调文字颜色 5 14" xfId="265"/>
    <cellStyle name="常规 19" xfId="266"/>
    <cellStyle name="20% - 强调文字颜色 4 14" xfId="267"/>
    <cellStyle name="40% - 强调文字颜色 5 15" xfId="268"/>
    <cellStyle name="40% - 强调文字颜色 5 20" xfId="269"/>
    <cellStyle name="常规 25" xfId="270"/>
    <cellStyle name="20% - 强调文字颜色 4 15" xfId="271"/>
    <cellStyle name="20% - 强调文字颜色 4 20" xfId="272"/>
    <cellStyle name="40% - 强调文字颜色 5 16" xfId="273"/>
    <cellStyle name="40% - 强调文字颜色 5 21" xfId="274"/>
    <cellStyle name="常规 27" xfId="275"/>
    <cellStyle name="20% - 强调文字颜色 4 17" xfId="276"/>
    <cellStyle name="20% - 强调文字颜色 4 22" xfId="277"/>
    <cellStyle name="40% - 强调文字颜色 5 18" xfId="278"/>
    <cellStyle name="40% - 强调文字颜色 5 23" xfId="279"/>
    <cellStyle name="常规 28" xfId="280"/>
    <cellStyle name="20% - 强调文字颜色 4 18" xfId="281"/>
    <cellStyle name="20% - 强调文字颜色 4 23" xfId="282"/>
    <cellStyle name="40% - 强调文字颜色 5 19" xfId="283"/>
    <cellStyle name="40% - 强调文字颜色 5 24" xfId="284"/>
    <cellStyle name="20% - 强调文字颜色 4 19" xfId="285"/>
    <cellStyle name="20% - 强调文字颜色 4 24" xfId="286"/>
    <cellStyle name="40% - 强调文字颜色 5 25" xfId="287"/>
    <cellStyle name="常规 3" xfId="288"/>
    <cellStyle name="注释 10" xfId="289"/>
    <cellStyle name="20% - 强调文字颜色 4 2" xfId="290"/>
    <cellStyle name="20% - 强调文字颜色 4 25" xfId="291"/>
    <cellStyle name="40% - 强调文字颜色 5 26" xfId="292"/>
    <cellStyle name="40% - 强调文字颜色 1 10" xfId="293"/>
    <cellStyle name="20% - 强调文字颜色 4 26" xfId="294"/>
    <cellStyle name="常规 4" xfId="295"/>
    <cellStyle name="注释 11" xfId="296"/>
    <cellStyle name="20% - 强调文字颜色 4 3" xfId="297"/>
    <cellStyle name="60% - 强调文字颜色 2 2" xfId="298"/>
    <cellStyle name="常规 5" xfId="299"/>
    <cellStyle name="注释 12" xfId="300"/>
    <cellStyle name="20% - 强调文字颜色 4 4" xfId="301"/>
    <cellStyle name="60% - 强调文字颜色 2 4" xfId="302"/>
    <cellStyle name="常规 7" xfId="303"/>
    <cellStyle name="注释 14" xfId="304"/>
    <cellStyle name="20% - 强调文字颜色 4 6" xfId="305"/>
    <cellStyle name="60% - 强调文字颜色 2 5" xfId="306"/>
    <cellStyle name="常规 8" xfId="307"/>
    <cellStyle name="注释 15" xfId="308"/>
    <cellStyle name="注释 20" xfId="309"/>
    <cellStyle name="20% - 强调文字颜色 4 7" xfId="310"/>
    <cellStyle name="常规 9" xfId="311"/>
    <cellStyle name="注释 16" xfId="312"/>
    <cellStyle name="注释 21" xfId="313"/>
    <cellStyle name="20% - 强调文字颜色 4 8" xfId="314"/>
    <cellStyle name="注释 17" xfId="315"/>
    <cellStyle name="注释 22" xfId="316"/>
    <cellStyle name="20% - 强调文字颜色 4 9" xfId="317"/>
    <cellStyle name="适中 4" xfId="318"/>
    <cellStyle name="20% - 强调文字颜色 5 10" xfId="319"/>
    <cellStyle name="40% - 强调文字颜色 6 11" xfId="320"/>
    <cellStyle name="适中 5" xfId="321"/>
    <cellStyle name="20% - 强调文字颜色 5 11" xfId="322"/>
    <cellStyle name="40% - 强调文字颜色 6 12" xfId="323"/>
    <cellStyle name="20% - 强调文字颜色 5 12" xfId="324"/>
    <cellStyle name="40% - 强调文字颜色 6 13" xfId="325"/>
    <cellStyle name="20% - 强调文字颜色 5 2" xfId="326"/>
    <cellStyle name="40% - 强调文字颜色 2 10" xfId="327"/>
    <cellStyle name="20% - 强调文字颜色 5 26" xfId="328"/>
    <cellStyle name="20% - 强调文字颜色 5 3" xfId="329"/>
    <cellStyle name="60% - 强调文字颜色 3 2" xfId="330"/>
    <cellStyle name="20% - 强调文字颜色 5 4" xfId="331"/>
    <cellStyle name="60% - 强调文字颜色 3 3" xfId="332"/>
    <cellStyle name="20% - 强调文字颜色 5 5" xfId="333"/>
    <cellStyle name="60% - 强调文字颜色 3 4" xfId="334"/>
    <cellStyle name="20% - 强调文字颜色 5 6" xfId="335"/>
    <cellStyle name="60% - 强调文字颜色 3 5" xfId="336"/>
    <cellStyle name="20% - 强调文字颜色 5 7" xfId="337"/>
    <cellStyle name="20% - 强调文字颜色 5 8" xfId="338"/>
    <cellStyle name="20% - 强调文字颜色 5 9" xfId="339"/>
    <cellStyle name="20% - 强调文字颜色 6 10" xfId="340"/>
    <cellStyle name="20% - 强调文字颜色 6 11" xfId="341"/>
    <cellStyle name="20% - 强调文字颜色 6 12" xfId="342"/>
    <cellStyle name="20% - 强调文字颜色 6 13" xfId="343"/>
    <cellStyle name="20% - 强调文字颜色 6 14" xfId="344"/>
    <cellStyle name="20% - 强调文字颜色 6 15" xfId="345"/>
    <cellStyle name="20% - 强调文字颜色 6 20" xfId="346"/>
    <cellStyle name="60% - 强调文字颜色 6 2" xfId="347"/>
    <cellStyle name="20% - 强调文字颜色 6 16" xfId="348"/>
    <cellStyle name="20% - 强调文字颜色 6 21" xfId="349"/>
    <cellStyle name="60% - 强调文字颜色 6 3" xfId="350"/>
    <cellStyle name="20% - 强调文字颜色 6 17" xfId="351"/>
    <cellStyle name="20% - 强调文字颜色 6 22" xfId="352"/>
    <cellStyle name="60% - 强调文字颜色 6 4" xfId="353"/>
    <cellStyle name="20% - 强调文字颜色 6 18" xfId="354"/>
    <cellStyle name="20% - 强调文字颜色 6 23" xfId="355"/>
    <cellStyle name="60% - 强调文字颜色 6 5" xfId="356"/>
    <cellStyle name="20% - 强调文字颜色 6 19" xfId="357"/>
    <cellStyle name="20% - 强调文字颜色 6 24" xfId="358"/>
    <cellStyle name="20% - 强调文字颜色 6 2" xfId="359"/>
    <cellStyle name="20% - 强调文字颜色 6 25" xfId="360"/>
    <cellStyle name="20% - 强调文字颜色 6 3" xfId="361"/>
    <cellStyle name="60% - 强调文字颜色 4 2" xfId="362"/>
    <cellStyle name="20% - 强调文字颜色 6 4" xfId="363"/>
    <cellStyle name="60% - 强调文字颜色 4 3" xfId="364"/>
    <cellStyle name="20% - 强调文字颜色 6 5" xfId="365"/>
    <cellStyle name="60% - 强调文字颜色 4 4" xfId="366"/>
    <cellStyle name="20% - 强调文字颜色 6 6" xfId="367"/>
    <cellStyle name="60% - 强调文字颜色 4 5" xfId="368"/>
    <cellStyle name="20% - 强调文字颜色 6 7" xfId="369"/>
    <cellStyle name="20% - 强调文字颜色 6 8" xfId="370"/>
    <cellStyle name="20% - 强调文字颜色 6 9" xfId="371"/>
    <cellStyle name="40% - 强调文字颜色 1 11" xfId="372"/>
    <cellStyle name="40% - 强调文字颜色 1 12" xfId="373"/>
    <cellStyle name="40% - 强调文字颜色 1 14" xfId="374"/>
    <cellStyle name="标题 1 2" xfId="375"/>
    <cellStyle name="40% - 强调文字颜色 1 15" xfId="376"/>
    <cellStyle name="40% - 强调文字颜色 1 20" xfId="377"/>
    <cellStyle name="标题 1 3" xfId="378"/>
    <cellStyle name="40% - 强调文字颜色 1 16" xfId="379"/>
    <cellStyle name="40% - 强调文字颜色 1 21" xfId="380"/>
    <cellStyle name="标题 1 4" xfId="381"/>
    <cellStyle name="40% - 强调文字颜色 1 17" xfId="382"/>
    <cellStyle name="40% - 强调文字颜色 1 22" xfId="383"/>
    <cellStyle name="标题 1 5" xfId="384"/>
    <cellStyle name="40% - 强调文字颜色 1 18" xfId="385"/>
    <cellStyle name="40% - 强调文字颜色 1 23" xfId="386"/>
    <cellStyle name="40% - 强调文字颜色 1 19" xfId="387"/>
    <cellStyle name="40% - 强调文字颜色 1 24" xfId="388"/>
    <cellStyle name="40% - 强调文字颜色 1 2" xfId="389"/>
    <cellStyle name="40% - 强调文字颜色 1 25" xfId="390"/>
    <cellStyle name="40% - 强调文字颜色 1 26" xfId="391"/>
    <cellStyle name="40% - 强调文字颜色 1 3" xfId="392"/>
    <cellStyle name="40% - 强调文字颜色 1 4" xfId="393"/>
    <cellStyle name="40% - 强调文字颜色 1 5" xfId="394"/>
    <cellStyle name="40% - 强调文字颜色 1 6" xfId="395"/>
    <cellStyle name="40% - 强调文字颜色 1 7" xfId="396"/>
    <cellStyle name="40% - 强调文字颜色 1 8" xfId="397"/>
    <cellStyle name="40% - 强调文字颜色 1 9" xfId="398"/>
    <cellStyle name="40% - 强调文字颜色 2 2" xfId="399"/>
    <cellStyle name="40% - 强调文字颜色 4 10" xfId="400"/>
    <cellStyle name="40% - 强调文字颜色 2 3" xfId="401"/>
    <cellStyle name="40% - 强调文字颜色 3 2" xfId="402"/>
    <cellStyle name="40% - 强调文字颜色 3 3" xfId="403"/>
    <cellStyle name="40% - 强调文字颜色 3 4" xfId="404"/>
    <cellStyle name="40% - 强调文字颜色 3 5" xfId="405"/>
    <cellStyle name="40% - 强调文字颜色 3 6" xfId="406"/>
    <cellStyle name="40% - 强调文字颜色 3 7" xfId="407"/>
    <cellStyle name="40% - 强调文字颜色 4 3" xfId="408"/>
    <cellStyle name="40% - 强调文字颜色 4 4" xfId="409"/>
    <cellStyle name="40% - 强调文字颜色 4 5" xfId="410"/>
    <cellStyle name="40% - 强调文字颜色 4 6" xfId="411"/>
    <cellStyle name="40% - 强调文字颜色 4 7" xfId="412"/>
    <cellStyle name="40% - 强调文字颜色 4 8" xfId="413"/>
    <cellStyle name="40% - 强调文字颜色 4 9" xfId="414"/>
    <cellStyle name="常规 14" xfId="415"/>
    <cellStyle name="40% - 强调文字颜色 5 10" xfId="416"/>
    <cellStyle name="40% - 强调文字颜色 5 2" xfId="417"/>
    <cellStyle name="40% - 强调文字颜色 5 3" xfId="418"/>
    <cellStyle name="40% - 强调文字颜色 5 4" xfId="419"/>
    <cellStyle name="40% - 强调文字颜色 5 5" xfId="420"/>
    <cellStyle name="40% - 强调文字颜色 5 6" xfId="421"/>
    <cellStyle name="40% - 强调文字颜色 5 8" xfId="422"/>
    <cellStyle name="40% - 强调文字颜色 5 9" xfId="423"/>
    <cellStyle name="适中 3" xfId="424"/>
    <cellStyle name="40% - 强调文字颜色 6 10" xfId="425"/>
    <cellStyle name="40% - 强调文字颜色 6 2" xfId="426"/>
    <cellStyle name="40% - 强调文字颜色 6 3" xfId="427"/>
    <cellStyle name="40% - 强调文字颜色 6 4" xfId="428"/>
    <cellStyle name="40% - 强调文字颜色 6 6" xfId="429"/>
    <cellStyle name="40% - 强调文字颜色 6 7" xfId="430"/>
    <cellStyle name="40% - 强调文字颜色 6 8" xfId="431"/>
    <cellStyle name="40% - 强调文字颜色 6 9" xfId="432"/>
    <cellStyle name="60% - 强调文字颜色 5 2" xfId="433"/>
    <cellStyle name="60% - 强调文字颜色 5 3" xfId="434"/>
    <cellStyle name="60% - 强调文字颜色 5 4" xfId="435"/>
    <cellStyle name="60% - 强调文字颜色 5 5" xfId="436"/>
    <cellStyle name="标题 2 2" xfId="437"/>
    <cellStyle name="标题 2 3" xfId="438"/>
    <cellStyle name="标题 2 4" xfId="439"/>
    <cellStyle name="标题 2 5" xfId="440"/>
    <cellStyle name="标题 3 2" xfId="441"/>
    <cellStyle name="标题 3 3" xfId="442"/>
    <cellStyle name="标题 3 4" xfId="443"/>
    <cellStyle name="标题 3 5" xfId="444"/>
    <cellStyle name="标题 4 2" xfId="445"/>
    <cellStyle name="标题 4 3" xfId="446"/>
    <cellStyle name="检查单元格 2" xfId="447"/>
    <cellStyle name="标题 4 4" xfId="448"/>
    <cellStyle name="检查单元格 3" xfId="449"/>
    <cellStyle name="标题 4 5" xfId="450"/>
    <cellStyle name="标题 5" xfId="451"/>
    <cellStyle name="标题 6" xfId="452"/>
    <cellStyle name="标题 7" xfId="453"/>
    <cellStyle name="标题 8" xfId="454"/>
    <cellStyle name="差 2" xfId="455"/>
    <cellStyle name="解释性文本 5" xfId="456"/>
    <cellStyle name="差 3" xfId="457"/>
    <cellStyle name="差 4" xfId="458"/>
    <cellStyle name="差 5" xfId="459"/>
    <cellStyle name="常规 10" xfId="460"/>
    <cellStyle name="常规 11" xfId="461"/>
    <cellStyle name="常规 12" xfId="462"/>
    <cellStyle name="常规 13" xfId="463"/>
    <cellStyle name="常规 2" xfId="464"/>
    <cellStyle name="常规 2 2" xfId="465"/>
    <cellStyle name="检查单元格 4" xfId="466"/>
    <cellStyle name="检查单元格 5" xfId="467"/>
    <cellStyle name="解释性文本 2" xfId="468"/>
    <cellStyle name="解释性文本 3" xfId="469"/>
    <cellStyle name="解释性文本 4" xfId="470"/>
    <cellStyle name="警告文本 2" xfId="471"/>
    <cellStyle name="警告文本 3" xfId="472"/>
    <cellStyle name="警告文本 4" xfId="473"/>
    <cellStyle name="警告文本 5" xfId="474"/>
    <cellStyle name="链接单元格 2" xfId="475"/>
    <cellStyle name="强调文字颜色 1 2" xfId="476"/>
    <cellStyle name="强调文字颜色 1 3" xfId="477"/>
    <cellStyle name="强调文字颜色 1 4" xfId="478"/>
    <cellStyle name="强调文字颜色 1 5" xfId="479"/>
    <cellStyle name="注释 26" xfId="480"/>
    <cellStyle name="强调文字颜色 3 2" xfId="481"/>
    <cellStyle name="注释 27" xfId="482"/>
    <cellStyle name="强调文字颜色 3 3" xfId="483"/>
    <cellStyle name="注释 28" xfId="484"/>
    <cellStyle name="强调文字颜色 3 4" xfId="485"/>
    <cellStyle name="注释 29" xfId="486"/>
    <cellStyle name="强调文字颜色 3 5" xfId="487"/>
    <cellStyle name="强调文字颜色 4 2" xfId="488"/>
    <cellStyle name="强调文字颜色 4 3" xfId="489"/>
    <cellStyle name="强调文字颜色 4 4" xfId="490"/>
    <cellStyle name="输入 2" xfId="491"/>
    <cellStyle name="强调文字颜色 4 5" xfId="492"/>
    <cellStyle name="强调文字颜色 5 2" xfId="493"/>
    <cellStyle name="强调文字颜色 5 3" xfId="494"/>
    <cellStyle name="强调文字颜色 5 4" xfId="495"/>
    <cellStyle name="强调文字颜色 5 5" xfId="496"/>
    <cellStyle name="强调文字颜色 6 2" xfId="497"/>
    <cellStyle name="强调文字颜色 6 3" xfId="498"/>
    <cellStyle name="强调文字颜色 6 4" xfId="499"/>
    <cellStyle name="强调文字颜色 6 5" xfId="500"/>
    <cellStyle name="输入 3" xfId="501"/>
    <cellStyle name="输入 4" xfId="502"/>
    <cellStyle name="输入 5" xfId="503"/>
    <cellStyle name="注释 18" xfId="504"/>
    <cellStyle name="注释 23" xfId="505"/>
    <cellStyle name="注释 19" xfId="506"/>
    <cellStyle name="注释 24" xfId="507"/>
    <cellStyle name="注释 2" xfId="508"/>
    <cellStyle name="注释 25" xfId="509"/>
    <cellStyle name="注释 30" xfId="510"/>
    <cellStyle name="注释 3" xfId="511"/>
    <cellStyle name="注释 4" xfId="512"/>
    <cellStyle name="注释 6" xfId="513"/>
    <cellStyle name="注释 7" xfId="514"/>
    <cellStyle name="注释 8" xfId="515"/>
    <cellStyle name="注释 9" xfId="516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203"/>
  <sheetViews>
    <sheetView workbookViewId="0">
      <selection activeCell="J5" sqref="J5"/>
    </sheetView>
  </sheetViews>
  <sheetFormatPr defaultColWidth="9" defaultRowHeight="19.95" customHeight="1"/>
  <cols>
    <col min="1" max="1" width="8.1" style="1" customWidth="1"/>
    <col min="2" max="2" width="12" style="1" customWidth="1"/>
    <col min="3" max="3" width="15.8" style="1" customWidth="1"/>
    <col min="4" max="4" width="10.5" style="1" customWidth="1"/>
    <col min="5" max="5" width="8.8" style="1"/>
    <col min="6" max="6" width="10.6" style="1" customWidth="1"/>
    <col min="7" max="16383" width="8.8" style="7"/>
    <col min="16384" max="16384" width="9" style="7"/>
  </cols>
  <sheetData>
    <row r="1" ht="34" customHeight="1" spans="1:7">
      <c r="A1" s="2" t="s">
        <v>0</v>
      </c>
      <c r="B1" s="2"/>
      <c r="C1" s="2"/>
      <c r="D1" s="2"/>
      <c r="E1" s="2"/>
      <c r="F1" s="2"/>
      <c r="G1" s="2"/>
    </row>
    <row r="2" customHeight="1" spans="1:7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</row>
    <row r="3" customHeight="1" spans="1:7">
      <c r="A3" s="3" t="str">
        <f>"1"</f>
        <v>1</v>
      </c>
      <c r="B3" s="3" t="s">
        <v>8</v>
      </c>
      <c r="C3" s="3" t="str">
        <f>"坡子街街道"</f>
        <v>坡子街街道</v>
      </c>
      <c r="D3" s="3" t="str">
        <f>"太平街社区"</f>
        <v>太平街社区</v>
      </c>
      <c r="E3" s="3" t="str">
        <f t="shared" ref="E3:E66" si="0">"140"</f>
        <v>140</v>
      </c>
      <c r="F3" s="3" t="str">
        <f t="shared" ref="F3:F66" si="1">"100"</f>
        <v>100</v>
      </c>
      <c r="G3" s="3" t="str">
        <f>"一级"</f>
        <v>一级</v>
      </c>
    </row>
    <row r="4" customHeight="1" spans="1:7">
      <c r="A4" s="3" t="str">
        <f>"2"</f>
        <v>2</v>
      </c>
      <c r="B4" s="3" t="s">
        <v>9</v>
      </c>
      <c r="C4" s="3" t="str">
        <f t="shared" ref="C4:C8" si="2">"裕南街街道"</f>
        <v>裕南街街道</v>
      </c>
      <c r="D4" s="3" t="str">
        <f>"火把山社区"</f>
        <v>火把山社区</v>
      </c>
      <c r="E4" s="3" t="str">
        <f t="shared" si="0"/>
        <v>140</v>
      </c>
      <c r="F4" s="3" t="str">
        <f t="shared" si="1"/>
        <v>100</v>
      </c>
      <c r="G4" s="3" t="str">
        <f>"一级"</f>
        <v>一级</v>
      </c>
    </row>
    <row r="5" customHeight="1" spans="1:17">
      <c r="A5" s="3" t="str">
        <f>"3"</f>
        <v>3</v>
      </c>
      <c r="B5" s="3" t="s">
        <v>10</v>
      </c>
      <c r="C5" s="3" t="str">
        <f t="shared" si="2"/>
        <v>裕南街街道</v>
      </c>
      <c r="D5" s="3" t="str">
        <f>"仰天湖社区"</f>
        <v>仰天湖社区</v>
      </c>
      <c r="E5" s="3" t="str">
        <f t="shared" si="0"/>
        <v>140</v>
      </c>
      <c r="F5" s="3" t="str">
        <f t="shared" si="1"/>
        <v>100</v>
      </c>
      <c r="G5" s="3" t="str">
        <f>"一级"</f>
        <v>一级</v>
      </c>
      <c r="K5" s="5"/>
      <c r="L5" s="5"/>
      <c r="M5" s="5"/>
      <c r="N5" s="5"/>
      <c r="O5" s="5"/>
      <c r="P5" s="5"/>
      <c r="Q5" s="5"/>
    </row>
    <row r="6" customHeight="1" spans="1:15">
      <c r="A6" s="3" t="str">
        <f>"4"</f>
        <v>4</v>
      </c>
      <c r="B6" s="3" t="s">
        <v>11</v>
      </c>
      <c r="C6" s="3" t="str">
        <f>"坡子街街道"</f>
        <v>坡子街街道</v>
      </c>
      <c r="D6" s="3" t="str">
        <f>"坡子街社区"</f>
        <v>坡子街社区</v>
      </c>
      <c r="E6" s="3" t="str">
        <f t="shared" si="0"/>
        <v>140</v>
      </c>
      <c r="F6" s="3" t="str">
        <f t="shared" si="1"/>
        <v>100</v>
      </c>
      <c r="G6" s="3" t="str">
        <f t="shared" ref="G6:G9" si="3">"二级"</f>
        <v>二级</v>
      </c>
      <c r="K6" s="9"/>
      <c r="L6" s="9"/>
      <c r="M6" s="9"/>
      <c r="N6" s="9"/>
      <c r="O6" s="9"/>
    </row>
    <row r="7" customHeight="1" spans="1:7">
      <c r="A7" s="3" t="str">
        <f>"5"</f>
        <v>5</v>
      </c>
      <c r="B7" s="3" t="s">
        <v>12</v>
      </c>
      <c r="C7" s="3" t="str">
        <f>"新开铺街道"</f>
        <v>新开铺街道</v>
      </c>
      <c r="D7" s="3" t="str">
        <f>"新开铺社区"</f>
        <v>新开铺社区</v>
      </c>
      <c r="E7" s="3" t="str">
        <f t="shared" si="0"/>
        <v>140</v>
      </c>
      <c r="F7" s="3" t="str">
        <f t="shared" si="1"/>
        <v>100</v>
      </c>
      <c r="G7" s="3" t="str">
        <f t="shared" si="3"/>
        <v>二级</v>
      </c>
    </row>
    <row r="8" customHeight="1" spans="1:7">
      <c r="A8" s="3" t="str">
        <f>"6"</f>
        <v>6</v>
      </c>
      <c r="B8" s="3" t="s">
        <v>13</v>
      </c>
      <c r="C8" s="3" t="str">
        <f t="shared" si="2"/>
        <v>裕南街街道</v>
      </c>
      <c r="D8" s="3" t="str">
        <f>"长坡社区"</f>
        <v>长坡社区</v>
      </c>
      <c r="E8" s="3" t="str">
        <f t="shared" si="0"/>
        <v>140</v>
      </c>
      <c r="F8" s="3" t="str">
        <f t="shared" si="1"/>
        <v>100</v>
      </c>
      <c r="G8" s="3" t="str">
        <f t="shared" si="3"/>
        <v>二级</v>
      </c>
    </row>
    <row r="9" customHeight="1" spans="1:7">
      <c r="A9" s="3" t="str">
        <f>"7"</f>
        <v>7</v>
      </c>
      <c r="B9" s="3" t="s">
        <v>14</v>
      </c>
      <c r="C9" s="3" t="str">
        <f>"赤岭路街道"</f>
        <v>赤岭路街道</v>
      </c>
      <c r="D9" s="3" t="str">
        <f>"新丰社区"</f>
        <v>新丰社区</v>
      </c>
      <c r="E9" s="3" t="str">
        <f t="shared" si="0"/>
        <v>140</v>
      </c>
      <c r="F9" s="3" t="str">
        <f t="shared" si="1"/>
        <v>100</v>
      </c>
      <c r="G9" s="3" t="str">
        <f t="shared" si="3"/>
        <v>二级</v>
      </c>
    </row>
    <row r="10" customHeight="1" spans="1:7">
      <c r="A10" s="3" t="str">
        <f>"8"</f>
        <v>8</v>
      </c>
      <c r="B10" s="3" t="s">
        <v>15</v>
      </c>
      <c r="C10" s="3" t="str">
        <f>"裕南街街道"</f>
        <v>裕南街街道</v>
      </c>
      <c r="D10" s="3" t="str">
        <f>"裕南街社区"</f>
        <v>裕南街社区</v>
      </c>
      <c r="E10" s="3" t="str">
        <f t="shared" si="0"/>
        <v>140</v>
      </c>
      <c r="F10" s="3" t="str">
        <f t="shared" si="1"/>
        <v>100</v>
      </c>
      <c r="G10" s="3" t="str">
        <f t="shared" ref="G10:G13" si="4">"一级"</f>
        <v>一级</v>
      </c>
    </row>
    <row r="11" customHeight="1" spans="1:7">
      <c r="A11" s="3" t="str">
        <f>"9"</f>
        <v>9</v>
      </c>
      <c r="B11" s="3" t="s">
        <v>16</v>
      </c>
      <c r="C11" s="3" t="str">
        <f>"裕南街街道"</f>
        <v>裕南街街道</v>
      </c>
      <c r="D11" s="3" t="str">
        <f>"石子冲社区"</f>
        <v>石子冲社区</v>
      </c>
      <c r="E11" s="3" t="str">
        <f t="shared" si="0"/>
        <v>140</v>
      </c>
      <c r="F11" s="3" t="str">
        <f t="shared" si="1"/>
        <v>100</v>
      </c>
      <c r="G11" s="3" t="str">
        <f t="shared" si="4"/>
        <v>一级</v>
      </c>
    </row>
    <row r="12" customHeight="1" spans="1:7">
      <c r="A12" s="3" t="str">
        <f>"10"</f>
        <v>10</v>
      </c>
      <c r="B12" s="3" t="s">
        <v>17</v>
      </c>
      <c r="C12" s="3" t="str">
        <f>"坡子街街道"</f>
        <v>坡子街街道</v>
      </c>
      <c r="D12" s="3" t="str">
        <f>"碧湘社区"</f>
        <v>碧湘社区</v>
      </c>
      <c r="E12" s="3" t="str">
        <f t="shared" si="0"/>
        <v>140</v>
      </c>
      <c r="F12" s="3" t="str">
        <f t="shared" si="1"/>
        <v>100</v>
      </c>
      <c r="G12" s="3" t="str">
        <f t="shared" si="4"/>
        <v>一级</v>
      </c>
    </row>
    <row r="13" customHeight="1" spans="1:7">
      <c r="A13" s="3" t="str">
        <f>"11"</f>
        <v>11</v>
      </c>
      <c r="B13" s="3" t="s">
        <v>18</v>
      </c>
      <c r="C13" s="3" t="str">
        <f>"城南路街道"</f>
        <v>城南路街道</v>
      </c>
      <c r="D13" s="3" t="str">
        <f>"天心阁社区"</f>
        <v>天心阁社区</v>
      </c>
      <c r="E13" s="3" t="str">
        <f t="shared" si="0"/>
        <v>140</v>
      </c>
      <c r="F13" s="3" t="str">
        <f t="shared" si="1"/>
        <v>100</v>
      </c>
      <c r="G13" s="3" t="str">
        <f t="shared" si="4"/>
        <v>一级</v>
      </c>
    </row>
    <row r="14" customHeight="1" spans="1:7">
      <c r="A14" s="3" t="str">
        <f>"12"</f>
        <v>12</v>
      </c>
      <c r="B14" s="3" t="s">
        <v>19</v>
      </c>
      <c r="C14" s="3" t="str">
        <f>"先锋街道"</f>
        <v>先锋街道</v>
      </c>
      <c r="D14" s="3" t="str">
        <f>"新宇社区"</f>
        <v>新宇社区</v>
      </c>
      <c r="E14" s="3" t="str">
        <f t="shared" si="0"/>
        <v>140</v>
      </c>
      <c r="F14" s="3" t="str">
        <f t="shared" si="1"/>
        <v>100</v>
      </c>
      <c r="G14" s="3" t="str">
        <f t="shared" ref="G14:G17" si="5">"二级"</f>
        <v>二级</v>
      </c>
    </row>
    <row r="15" customHeight="1" spans="1:7">
      <c r="A15" s="3" t="str">
        <f>"13"</f>
        <v>13</v>
      </c>
      <c r="B15" s="3" t="s">
        <v>20</v>
      </c>
      <c r="C15" s="3" t="str">
        <f>"金盆岭街道"</f>
        <v>金盆岭街道</v>
      </c>
      <c r="D15" s="3" t="str">
        <f>"涂新社区"</f>
        <v>涂新社区</v>
      </c>
      <c r="E15" s="3" t="str">
        <f t="shared" si="0"/>
        <v>140</v>
      </c>
      <c r="F15" s="3" t="str">
        <f t="shared" si="1"/>
        <v>100</v>
      </c>
      <c r="G15" s="3" t="str">
        <f t="shared" si="5"/>
        <v>二级</v>
      </c>
    </row>
    <row r="16" customHeight="1" spans="1:7">
      <c r="A16" s="3" t="str">
        <f>"14"</f>
        <v>14</v>
      </c>
      <c r="B16" s="3" t="s">
        <v>21</v>
      </c>
      <c r="C16" s="3" t="str">
        <f>"赤岭路街道"</f>
        <v>赤岭路街道</v>
      </c>
      <c r="D16" s="3" t="str">
        <f>"广厦新村社区"</f>
        <v>广厦新村社区</v>
      </c>
      <c r="E16" s="3" t="str">
        <f t="shared" si="0"/>
        <v>140</v>
      </c>
      <c r="F16" s="3" t="str">
        <f t="shared" si="1"/>
        <v>100</v>
      </c>
      <c r="G16" s="3" t="str">
        <f t="shared" si="5"/>
        <v>二级</v>
      </c>
    </row>
    <row r="17" customHeight="1" spans="1:7">
      <c r="A17" s="3" t="str">
        <f>"15"</f>
        <v>15</v>
      </c>
      <c r="B17" s="3" t="s">
        <v>22</v>
      </c>
      <c r="C17" s="3" t="str">
        <f>"金盆岭街道"</f>
        <v>金盆岭街道</v>
      </c>
      <c r="D17" s="3" t="str">
        <f>"赤岭路社区"</f>
        <v>赤岭路社区</v>
      </c>
      <c r="E17" s="3" t="str">
        <f t="shared" si="0"/>
        <v>140</v>
      </c>
      <c r="F17" s="3" t="str">
        <f t="shared" si="1"/>
        <v>100</v>
      </c>
      <c r="G17" s="3" t="str">
        <f t="shared" si="5"/>
        <v>二级</v>
      </c>
    </row>
    <row r="18" customHeight="1" spans="1:7">
      <c r="A18" s="3" t="str">
        <f>"16"</f>
        <v>16</v>
      </c>
      <c r="B18" s="3" t="s">
        <v>23</v>
      </c>
      <c r="C18" s="3" t="str">
        <f>"赤岭路街道"</f>
        <v>赤岭路街道</v>
      </c>
      <c r="D18" s="3" t="str">
        <f>"白沙花园社区"</f>
        <v>白沙花园社区</v>
      </c>
      <c r="E18" s="3" t="str">
        <f t="shared" si="0"/>
        <v>140</v>
      </c>
      <c r="F18" s="3" t="str">
        <f t="shared" si="1"/>
        <v>100</v>
      </c>
      <c r="G18" s="3" t="str">
        <f t="shared" ref="G18:G21" si="6">"一级"</f>
        <v>一级</v>
      </c>
    </row>
    <row r="19" customHeight="1" spans="1:7">
      <c r="A19" s="3" t="str">
        <f>"17"</f>
        <v>17</v>
      </c>
      <c r="B19" s="3" t="s">
        <v>24</v>
      </c>
      <c r="C19" s="3" t="str">
        <f>"南托街道"</f>
        <v>南托街道</v>
      </c>
      <c r="D19" s="3" t="str">
        <f>"沿江村"</f>
        <v>沿江村</v>
      </c>
      <c r="E19" s="3" t="str">
        <f t="shared" si="0"/>
        <v>140</v>
      </c>
      <c r="F19" s="3" t="str">
        <f t="shared" si="1"/>
        <v>100</v>
      </c>
      <c r="G19" s="3" t="str">
        <f t="shared" si="6"/>
        <v>一级</v>
      </c>
    </row>
    <row r="20" customHeight="1" spans="1:7">
      <c r="A20" s="3" t="str">
        <f>"18"</f>
        <v>18</v>
      </c>
      <c r="B20" s="3" t="s">
        <v>25</v>
      </c>
      <c r="C20" s="3" t="str">
        <f t="shared" ref="C20:C24" si="7">"文源街道"</f>
        <v>文源街道</v>
      </c>
      <c r="D20" s="3" t="str">
        <f>"梅岭社区"</f>
        <v>梅岭社区</v>
      </c>
      <c r="E20" s="3" t="str">
        <f t="shared" si="0"/>
        <v>140</v>
      </c>
      <c r="F20" s="3" t="str">
        <f t="shared" si="1"/>
        <v>100</v>
      </c>
      <c r="G20" s="3" t="str">
        <f t="shared" ref="G20:G28" si="8">"二级"</f>
        <v>二级</v>
      </c>
    </row>
    <row r="21" customHeight="1" spans="1:7">
      <c r="A21" s="3" t="str">
        <f>"19"</f>
        <v>19</v>
      </c>
      <c r="B21" s="3" t="s">
        <v>26</v>
      </c>
      <c r="C21" s="3" t="str">
        <f>"新开铺街道"</f>
        <v>新开铺街道</v>
      </c>
      <c r="D21" s="3" t="str">
        <f>"新开铺社区"</f>
        <v>新开铺社区</v>
      </c>
      <c r="E21" s="3" t="str">
        <f t="shared" si="0"/>
        <v>140</v>
      </c>
      <c r="F21" s="3" t="str">
        <f t="shared" si="1"/>
        <v>100</v>
      </c>
      <c r="G21" s="3" t="str">
        <f t="shared" si="6"/>
        <v>一级</v>
      </c>
    </row>
    <row r="22" customHeight="1" spans="1:7">
      <c r="A22" s="3" t="str">
        <f>"20"</f>
        <v>20</v>
      </c>
      <c r="B22" s="3" t="s">
        <v>27</v>
      </c>
      <c r="C22" s="3" t="str">
        <f t="shared" si="7"/>
        <v>文源街道</v>
      </c>
      <c r="D22" s="3" t="str">
        <f>"梅岭社区"</f>
        <v>梅岭社区</v>
      </c>
      <c r="E22" s="3" t="str">
        <f t="shared" si="0"/>
        <v>140</v>
      </c>
      <c r="F22" s="3" t="str">
        <f t="shared" si="1"/>
        <v>100</v>
      </c>
      <c r="G22" s="3" t="str">
        <f t="shared" si="8"/>
        <v>二级</v>
      </c>
    </row>
    <row r="23" customHeight="1" spans="1:7">
      <c r="A23" s="3" t="str">
        <f>"21"</f>
        <v>21</v>
      </c>
      <c r="B23" s="3" t="s">
        <v>28</v>
      </c>
      <c r="C23" s="3" t="str">
        <f t="shared" si="7"/>
        <v>文源街道</v>
      </c>
      <c r="D23" s="3" t="str">
        <f>"文源社区"</f>
        <v>文源社区</v>
      </c>
      <c r="E23" s="3" t="str">
        <f t="shared" si="0"/>
        <v>140</v>
      </c>
      <c r="F23" s="3" t="str">
        <f t="shared" si="1"/>
        <v>100</v>
      </c>
      <c r="G23" s="3" t="str">
        <f t="shared" si="8"/>
        <v>二级</v>
      </c>
    </row>
    <row r="24" customHeight="1" spans="1:7">
      <c r="A24" s="3" t="str">
        <f>"22"</f>
        <v>22</v>
      </c>
      <c r="B24" s="3" t="s">
        <v>29</v>
      </c>
      <c r="C24" s="3" t="str">
        <f t="shared" si="7"/>
        <v>文源街道</v>
      </c>
      <c r="D24" s="3" t="str">
        <f>"文源社区"</f>
        <v>文源社区</v>
      </c>
      <c r="E24" s="3" t="str">
        <f t="shared" si="0"/>
        <v>140</v>
      </c>
      <c r="F24" s="3" t="str">
        <f t="shared" si="1"/>
        <v>100</v>
      </c>
      <c r="G24" s="3" t="str">
        <f t="shared" si="8"/>
        <v>二级</v>
      </c>
    </row>
    <row r="25" customHeight="1" spans="1:7">
      <c r="A25" s="3" t="str">
        <f>"23"</f>
        <v>23</v>
      </c>
      <c r="B25" s="3" t="s">
        <v>30</v>
      </c>
      <c r="C25" s="3" t="str">
        <f>"裕南街街道"</f>
        <v>裕南街街道</v>
      </c>
      <c r="D25" s="3" t="str">
        <f>"宝塔山社区"</f>
        <v>宝塔山社区</v>
      </c>
      <c r="E25" s="3" t="str">
        <f t="shared" si="0"/>
        <v>140</v>
      </c>
      <c r="F25" s="3" t="str">
        <f t="shared" si="1"/>
        <v>100</v>
      </c>
      <c r="G25" s="3" t="str">
        <f t="shared" si="8"/>
        <v>二级</v>
      </c>
    </row>
    <row r="26" customHeight="1" spans="1:7">
      <c r="A26" s="3" t="str">
        <f>"24"</f>
        <v>24</v>
      </c>
      <c r="B26" s="3" t="s">
        <v>31</v>
      </c>
      <c r="C26" s="3" t="str">
        <f>"裕南街街道"</f>
        <v>裕南街街道</v>
      </c>
      <c r="D26" s="3" t="str">
        <f>"仰天湖社区"</f>
        <v>仰天湖社区</v>
      </c>
      <c r="E26" s="3" t="str">
        <f t="shared" si="0"/>
        <v>140</v>
      </c>
      <c r="F26" s="3" t="str">
        <f t="shared" si="1"/>
        <v>100</v>
      </c>
      <c r="G26" s="3" t="str">
        <f t="shared" si="8"/>
        <v>二级</v>
      </c>
    </row>
    <row r="27" customHeight="1" spans="1:7">
      <c r="A27" s="3" t="str">
        <f>"25"</f>
        <v>25</v>
      </c>
      <c r="B27" s="3" t="s">
        <v>32</v>
      </c>
      <c r="C27" s="3" t="str">
        <f>"金盆岭街道"</f>
        <v>金盆岭街道</v>
      </c>
      <c r="D27" s="3" t="str">
        <f>"赤岭路社区"</f>
        <v>赤岭路社区</v>
      </c>
      <c r="E27" s="3" t="str">
        <f t="shared" si="0"/>
        <v>140</v>
      </c>
      <c r="F27" s="3" t="str">
        <f t="shared" si="1"/>
        <v>100</v>
      </c>
      <c r="G27" s="3" t="str">
        <f t="shared" si="8"/>
        <v>二级</v>
      </c>
    </row>
    <row r="28" customHeight="1" spans="1:7">
      <c r="A28" s="3" t="str">
        <f>"26"</f>
        <v>26</v>
      </c>
      <c r="B28" s="3" t="s">
        <v>33</v>
      </c>
      <c r="C28" s="3" t="str">
        <f>"新开铺街道"</f>
        <v>新开铺街道</v>
      </c>
      <c r="D28" s="3" t="str">
        <f>"豹子岭社区"</f>
        <v>豹子岭社区</v>
      </c>
      <c r="E28" s="3" t="str">
        <f t="shared" si="0"/>
        <v>140</v>
      </c>
      <c r="F28" s="3" t="str">
        <f t="shared" si="1"/>
        <v>100</v>
      </c>
      <c r="G28" s="3" t="str">
        <f t="shared" si="8"/>
        <v>二级</v>
      </c>
    </row>
    <row r="29" customHeight="1" spans="1:7">
      <c r="A29" s="3" t="str">
        <f>"27"</f>
        <v>27</v>
      </c>
      <c r="B29" s="3" t="s">
        <v>34</v>
      </c>
      <c r="C29" s="3" t="str">
        <f>"新开铺街道"</f>
        <v>新开铺街道</v>
      </c>
      <c r="D29" s="3" t="str">
        <f>"新开铺社区"</f>
        <v>新开铺社区</v>
      </c>
      <c r="E29" s="3" t="str">
        <f t="shared" si="0"/>
        <v>140</v>
      </c>
      <c r="F29" s="3" t="str">
        <f t="shared" si="1"/>
        <v>100</v>
      </c>
      <c r="G29" s="3" t="str">
        <f>"一级"</f>
        <v>一级</v>
      </c>
    </row>
    <row r="30" customHeight="1" spans="1:7">
      <c r="A30" s="3" t="str">
        <f>"28"</f>
        <v>28</v>
      </c>
      <c r="B30" s="3" t="s">
        <v>35</v>
      </c>
      <c r="C30" s="3" t="str">
        <f>"赤岭路街道"</f>
        <v>赤岭路街道</v>
      </c>
      <c r="D30" s="3" t="str">
        <f>"广厦新村社区"</f>
        <v>广厦新村社区</v>
      </c>
      <c r="E30" s="3" t="str">
        <f t="shared" si="0"/>
        <v>140</v>
      </c>
      <c r="F30" s="3" t="str">
        <f t="shared" si="1"/>
        <v>100</v>
      </c>
      <c r="G30" s="3" t="str">
        <f t="shared" ref="G30:G35" si="9">"二级"</f>
        <v>二级</v>
      </c>
    </row>
    <row r="31" customHeight="1" spans="1:7">
      <c r="A31" s="3" t="str">
        <f>"29"</f>
        <v>29</v>
      </c>
      <c r="B31" s="3" t="s">
        <v>36</v>
      </c>
      <c r="C31" s="3" t="str">
        <f t="shared" ref="C31:C35" si="10">"暮云街道"</f>
        <v>暮云街道</v>
      </c>
      <c r="D31" s="3" t="str">
        <f>"暮云新村"</f>
        <v>暮云新村</v>
      </c>
      <c r="E31" s="3" t="str">
        <f t="shared" si="0"/>
        <v>140</v>
      </c>
      <c r="F31" s="3" t="str">
        <f t="shared" si="1"/>
        <v>100</v>
      </c>
      <c r="G31" s="3" t="str">
        <f t="shared" si="9"/>
        <v>二级</v>
      </c>
    </row>
    <row r="32" customHeight="1" spans="1:7">
      <c r="A32" s="3" t="str">
        <f>"30"</f>
        <v>30</v>
      </c>
      <c r="B32" s="3" t="s">
        <v>37</v>
      </c>
      <c r="C32" s="3" t="str">
        <f>"南托街道"</f>
        <v>南托街道</v>
      </c>
      <c r="D32" s="3" t="str">
        <f>"滨洲新村"</f>
        <v>滨洲新村</v>
      </c>
      <c r="E32" s="3" t="str">
        <f t="shared" si="0"/>
        <v>140</v>
      </c>
      <c r="F32" s="3" t="str">
        <f t="shared" si="1"/>
        <v>100</v>
      </c>
      <c r="G32" s="3" t="str">
        <f>"一级"</f>
        <v>一级</v>
      </c>
    </row>
    <row r="33" customHeight="1" spans="1:7">
      <c r="A33" s="3" t="str">
        <f>"31"</f>
        <v>31</v>
      </c>
      <c r="B33" s="3" t="s">
        <v>38</v>
      </c>
      <c r="C33" s="3" t="str">
        <f t="shared" si="10"/>
        <v>暮云街道</v>
      </c>
      <c r="D33" s="3" t="str">
        <f>"许兴村"</f>
        <v>许兴村</v>
      </c>
      <c r="E33" s="3" t="str">
        <f t="shared" si="0"/>
        <v>140</v>
      </c>
      <c r="F33" s="3" t="str">
        <f t="shared" si="1"/>
        <v>100</v>
      </c>
      <c r="G33" s="3" t="str">
        <f t="shared" si="9"/>
        <v>二级</v>
      </c>
    </row>
    <row r="34" customHeight="1" spans="1:7">
      <c r="A34" s="3" t="str">
        <f>"32"</f>
        <v>32</v>
      </c>
      <c r="B34" s="3" t="s">
        <v>39</v>
      </c>
      <c r="C34" s="3" t="str">
        <f t="shared" si="10"/>
        <v>暮云街道</v>
      </c>
      <c r="D34" s="3" t="str">
        <f>"莲华村"</f>
        <v>莲华村</v>
      </c>
      <c r="E34" s="3" t="str">
        <f t="shared" si="0"/>
        <v>140</v>
      </c>
      <c r="F34" s="3" t="str">
        <f t="shared" si="1"/>
        <v>100</v>
      </c>
      <c r="G34" s="3" t="str">
        <f t="shared" si="9"/>
        <v>二级</v>
      </c>
    </row>
    <row r="35" customHeight="1" spans="1:7">
      <c r="A35" s="3" t="str">
        <f>"33"</f>
        <v>33</v>
      </c>
      <c r="B35" s="3" t="s">
        <v>40</v>
      </c>
      <c r="C35" s="3" t="str">
        <f t="shared" si="10"/>
        <v>暮云街道</v>
      </c>
      <c r="D35" s="3" t="str">
        <f>"许兴村"</f>
        <v>许兴村</v>
      </c>
      <c r="E35" s="3" t="str">
        <f t="shared" si="0"/>
        <v>140</v>
      </c>
      <c r="F35" s="3" t="str">
        <f t="shared" si="1"/>
        <v>100</v>
      </c>
      <c r="G35" s="3" t="str">
        <f t="shared" si="9"/>
        <v>二级</v>
      </c>
    </row>
    <row r="36" customHeight="1" spans="1:7">
      <c r="A36" s="3" t="str">
        <f>"34"</f>
        <v>34</v>
      </c>
      <c r="B36" s="3" t="s">
        <v>41</v>
      </c>
      <c r="C36" s="3" t="str">
        <f t="shared" ref="C36:C39" si="11">"坡子街街道"</f>
        <v>坡子街街道</v>
      </c>
      <c r="D36" s="3" t="str">
        <f>"文庙坪社区"</f>
        <v>文庙坪社区</v>
      </c>
      <c r="E36" s="3" t="str">
        <f t="shared" si="0"/>
        <v>140</v>
      </c>
      <c r="F36" s="3" t="str">
        <f t="shared" si="1"/>
        <v>100</v>
      </c>
      <c r="G36" s="3" t="str">
        <f>"一级"</f>
        <v>一级</v>
      </c>
    </row>
    <row r="37" customHeight="1" spans="1:7">
      <c r="A37" s="3" t="str">
        <f>"35"</f>
        <v>35</v>
      </c>
      <c r="B37" s="3" t="s">
        <v>42</v>
      </c>
      <c r="C37" s="3" t="str">
        <f t="shared" si="11"/>
        <v>坡子街街道</v>
      </c>
      <c r="D37" s="3" t="str">
        <f>"西湖社区"</f>
        <v>西湖社区</v>
      </c>
      <c r="E37" s="3" t="str">
        <f t="shared" si="0"/>
        <v>140</v>
      </c>
      <c r="F37" s="3" t="str">
        <f t="shared" si="1"/>
        <v>100</v>
      </c>
      <c r="G37" s="3" t="str">
        <f t="shared" ref="G37:G40" si="12">"二级"</f>
        <v>二级</v>
      </c>
    </row>
    <row r="38" customHeight="1" spans="1:7">
      <c r="A38" s="3" t="str">
        <f>"36"</f>
        <v>36</v>
      </c>
      <c r="B38" s="3" t="s">
        <v>43</v>
      </c>
      <c r="C38" s="3" t="str">
        <f t="shared" si="11"/>
        <v>坡子街街道</v>
      </c>
      <c r="D38" s="3" t="str">
        <f>"登仁桥社区"</f>
        <v>登仁桥社区</v>
      </c>
      <c r="E38" s="3" t="str">
        <f t="shared" si="0"/>
        <v>140</v>
      </c>
      <c r="F38" s="3" t="str">
        <f t="shared" si="1"/>
        <v>100</v>
      </c>
      <c r="G38" s="3" t="str">
        <f t="shared" si="12"/>
        <v>二级</v>
      </c>
    </row>
    <row r="39" customHeight="1" spans="1:7">
      <c r="A39" s="3" t="str">
        <f>"37"</f>
        <v>37</v>
      </c>
      <c r="B39" s="3" t="s">
        <v>44</v>
      </c>
      <c r="C39" s="3" t="str">
        <f t="shared" si="11"/>
        <v>坡子街街道</v>
      </c>
      <c r="D39" s="3" t="str">
        <f>"西湖社区"</f>
        <v>西湖社区</v>
      </c>
      <c r="E39" s="3" t="str">
        <f t="shared" si="0"/>
        <v>140</v>
      </c>
      <c r="F39" s="3" t="str">
        <f t="shared" si="1"/>
        <v>100</v>
      </c>
      <c r="G39" s="3" t="str">
        <f t="shared" si="12"/>
        <v>二级</v>
      </c>
    </row>
    <row r="40" customHeight="1" spans="1:7">
      <c r="A40" s="3" t="str">
        <f>"38"</f>
        <v>38</v>
      </c>
      <c r="B40" s="3" t="s">
        <v>45</v>
      </c>
      <c r="C40" s="3" t="str">
        <f>"新开铺街道"</f>
        <v>新开铺街道</v>
      </c>
      <c r="D40" s="3" t="str">
        <f>"桥头社区"</f>
        <v>桥头社区</v>
      </c>
      <c r="E40" s="3" t="str">
        <f t="shared" si="0"/>
        <v>140</v>
      </c>
      <c r="F40" s="3" t="str">
        <f t="shared" si="1"/>
        <v>100</v>
      </c>
      <c r="G40" s="3" t="str">
        <f t="shared" si="12"/>
        <v>二级</v>
      </c>
    </row>
    <row r="41" customHeight="1" spans="1:7">
      <c r="A41" s="3" t="str">
        <f>"39"</f>
        <v>39</v>
      </c>
      <c r="B41" s="3" t="s">
        <v>46</v>
      </c>
      <c r="C41" s="3" t="str">
        <f>"裕南街街道"</f>
        <v>裕南街街道</v>
      </c>
      <c r="D41" s="3" t="str">
        <f>"碧沙湖社区"</f>
        <v>碧沙湖社区</v>
      </c>
      <c r="E41" s="3" t="str">
        <f t="shared" si="0"/>
        <v>140</v>
      </c>
      <c r="F41" s="3" t="str">
        <f t="shared" si="1"/>
        <v>100</v>
      </c>
      <c r="G41" s="3" t="str">
        <f t="shared" ref="G41:G45" si="13">"一级"</f>
        <v>一级</v>
      </c>
    </row>
    <row r="42" customHeight="1" spans="1:7">
      <c r="A42" s="3" t="str">
        <f>"40"</f>
        <v>40</v>
      </c>
      <c r="B42" s="3" t="s">
        <v>47</v>
      </c>
      <c r="C42" s="3" t="str">
        <f>"坡子街街道"</f>
        <v>坡子街街道</v>
      </c>
      <c r="D42" s="3" t="str">
        <f>"青山祠社区"</f>
        <v>青山祠社区</v>
      </c>
      <c r="E42" s="3" t="str">
        <f t="shared" si="0"/>
        <v>140</v>
      </c>
      <c r="F42" s="3" t="str">
        <f t="shared" si="1"/>
        <v>100</v>
      </c>
      <c r="G42" s="3" t="str">
        <f t="shared" si="13"/>
        <v>一级</v>
      </c>
    </row>
    <row r="43" customHeight="1" spans="1:7">
      <c r="A43" s="3" t="str">
        <f>"41"</f>
        <v>41</v>
      </c>
      <c r="B43" s="3" t="s">
        <v>48</v>
      </c>
      <c r="C43" s="3" t="str">
        <f>"城南路街道"</f>
        <v>城南路街道</v>
      </c>
      <c r="D43" s="3" t="str">
        <f>"吴家坪社区"</f>
        <v>吴家坪社区</v>
      </c>
      <c r="E43" s="3" t="str">
        <f t="shared" si="0"/>
        <v>140</v>
      </c>
      <c r="F43" s="3" t="str">
        <f t="shared" si="1"/>
        <v>100</v>
      </c>
      <c r="G43" s="3" t="str">
        <f t="shared" ref="G43:G48" si="14">"二级"</f>
        <v>二级</v>
      </c>
    </row>
    <row r="44" customHeight="1" spans="1:7">
      <c r="A44" s="3" t="str">
        <f>"42"</f>
        <v>42</v>
      </c>
      <c r="B44" s="3" t="s">
        <v>49</v>
      </c>
      <c r="C44" s="3" t="str">
        <f>"新开铺街道"</f>
        <v>新开铺街道</v>
      </c>
      <c r="D44" s="3" t="str">
        <f>"豹子岭社区"</f>
        <v>豹子岭社区</v>
      </c>
      <c r="E44" s="3" t="str">
        <f t="shared" si="0"/>
        <v>140</v>
      </c>
      <c r="F44" s="3" t="str">
        <f t="shared" si="1"/>
        <v>100</v>
      </c>
      <c r="G44" s="3" t="str">
        <f t="shared" si="14"/>
        <v>二级</v>
      </c>
    </row>
    <row r="45" customHeight="1" spans="1:7">
      <c r="A45" s="3" t="str">
        <f>"43"</f>
        <v>43</v>
      </c>
      <c r="B45" s="3" t="s">
        <v>50</v>
      </c>
      <c r="C45" s="3" t="str">
        <f>"青园街道"</f>
        <v>青园街道</v>
      </c>
      <c r="D45" s="3" t="str">
        <f>"湘园社区"</f>
        <v>湘园社区</v>
      </c>
      <c r="E45" s="3" t="str">
        <f t="shared" si="0"/>
        <v>140</v>
      </c>
      <c r="F45" s="3" t="str">
        <f t="shared" si="1"/>
        <v>100</v>
      </c>
      <c r="G45" s="3" t="str">
        <f t="shared" si="13"/>
        <v>一级</v>
      </c>
    </row>
    <row r="46" customHeight="1" spans="1:7">
      <c r="A46" s="3" t="str">
        <f>"44"</f>
        <v>44</v>
      </c>
      <c r="B46" s="3" t="s">
        <v>51</v>
      </c>
      <c r="C46" s="3" t="str">
        <f>"大托铺街道"</f>
        <v>大托铺街道</v>
      </c>
      <c r="D46" s="3" t="str">
        <f>"大托村委会"</f>
        <v>大托村委会</v>
      </c>
      <c r="E46" s="3" t="str">
        <f t="shared" si="0"/>
        <v>140</v>
      </c>
      <c r="F46" s="3" t="str">
        <f t="shared" si="1"/>
        <v>100</v>
      </c>
      <c r="G46" s="3" t="str">
        <f t="shared" si="14"/>
        <v>二级</v>
      </c>
    </row>
    <row r="47" customHeight="1" spans="1:7">
      <c r="A47" s="3" t="str">
        <f>"45"</f>
        <v>45</v>
      </c>
      <c r="B47" s="3" t="s">
        <v>52</v>
      </c>
      <c r="C47" s="3" t="str">
        <f>"赤岭路街道"</f>
        <v>赤岭路街道</v>
      </c>
      <c r="D47" s="3" t="str">
        <f>"芙蓉南路社区"</f>
        <v>芙蓉南路社区</v>
      </c>
      <c r="E47" s="3" t="str">
        <f t="shared" si="0"/>
        <v>140</v>
      </c>
      <c r="F47" s="3" t="str">
        <f t="shared" si="1"/>
        <v>100</v>
      </c>
      <c r="G47" s="3" t="str">
        <f t="shared" si="14"/>
        <v>二级</v>
      </c>
    </row>
    <row r="48" customHeight="1" spans="1:7">
      <c r="A48" s="3" t="str">
        <f>"46"</f>
        <v>46</v>
      </c>
      <c r="B48" s="3" t="s">
        <v>53</v>
      </c>
      <c r="C48" s="3" t="str">
        <f t="shared" ref="C48:C53" si="15">"城南路街道"</f>
        <v>城南路街道</v>
      </c>
      <c r="D48" s="3" t="str">
        <f>"吴家坪社区"</f>
        <v>吴家坪社区</v>
      </c>
      <c r="E48" s="3" t="str">
        <f t="shared" si="0"/>
        <v>140</v>
      </c>
      <c r="F48" s="3" t="str">
        <f t="shared" si="1"/>
        <v>100</v>
      </c>
      <c r="G48" s="3" t="str">
        <f t="shared" si="14"/>
        <v>二级</v>
      </c>
    </row>
    <row r="49" customHeight="1" spans="1:7">
      <c r="A49" s="3" t="str">
        <f>"47"</f>
        <v>47</v>
      </c>
      <c r="B49" s="3" t="s">
        <v>54</v>
      </c>
      <c r="C49" s="3" t="str">
        <f t="shared" si="15"/>
        <v>城南路街道</v>
      </c>
      <c r="D49" s="3" t="str">
        <f>"熙台岭社区"</f>
        <v>熙台岭社区</v>
      </c>
      <c r="E49" s="3" t="str">
        <f t="shared" si="0"/>
        <v>140</v>
      </c>
      <c r="F49" s="3" t="str">
        <f t="shared" si="1"/>
        <v>100</v>
      </c>
      <c r="G49" s="3" t="str">
        <f t="shared" ref="G49:G53" si="16">"一级"</f>
        <v>一级</v>
      </c>
    </row>
    <row r="50" customHeight="1" spans="1:7">
      <c r="A50" s="3" t="str">
        <f>"48"</f>
        <v>48</v>
      </c>
      <c r="B50" s="3" t="s">
        <v>55</v>
      </c>
      <c r="C50" s="3" t="str">
        <f t="shared" ref="C50:C54" si="17">"坡子街街道"</f>
        <v>坡子街街道</v>
      </c>
      <c r="D50" s="3" t="str">
        <f>"碧湘社区"</f>
        <v>碧湘社区</v>
      </c>
      <c r="E50" s="3" t="str">
        <f t="shared" si="0"/>
        <v>140</v>
      </c>
      <c r="F50" s="3" t="str">
        <f t="shared" si="1"/>
        <v>100</v>
      </c>
      <c r="G50" s="3" t="str">
        <f t="shared" ref="G50:G55" si="18">"二级"</f>
        <v>二级</v>
      </c>
    </row>
    <row r="51" customHeight="1" spans="1:7">
      <c r="A51" s="3" t="str">
        <f>"49"</f>
        <v>49</v>
      </c>
      <c r="B51" s="3" t="s">
        <v>56</v>
      </c>
      <c r="C51" s="3" t="str">
        <f>"赤岭路街道"</f>
        <v>赤岭路街道</v>
      </c>
      <c r="D51" s="3" t="str">
        <f>"白沙花园社区"</f>
        <v>白沙花园社区</v>
      </c>
      <c r="E51" s="3" t="str">
        <f t="shared" si="0"/>
        <v>140</v>
      </c>
      <c r="F51" s="3" t="str">
        <f t="shared" si="1"/>
        <v>100</v>
      </c>
      <c r="G51" s="3" t="str">
        <f t="shared" si="18"/>
        <v>二级</v>
      </c>
    </row>
    <row r="52" customHeight="1" spans="1:7">
      <c r="A52" s="3" t="str">
        <f>"50"</f>
        <v>50</v>
      </c>
      <c r="B52" s="3" t="s">
        <v>57</v>
      </c>
      <c r="C52" s="3" t="str">
        <f t="shared" si="17"/>
        <v>坡子街街道</v>
      </c>
      <c r="D52" s="3" t="str">
        <f>"创远社区"</f>
        <v>创远社区</v>
      </c>
      <c r="E52" s="3" t="str">
        <f t="shared" si="0"/>
        <v>140</v>
      </c>
      <c r="F52" s="3" t="str">
        <f t="shared" si="1"/>
        <v>100</v>
      </c>
      <c r="G52" s="3" t="str">
        <f t="shared" si="16"/>
        <v>一级</v>
      </c>
    </row>
    <row r="53" customHeight="1" spans="1:7">
      <c r="A53" s="3" t="str">
        <f>"51"</f>
        <v>51</v>
      </c>
      <c r="B53" s="3" t="s">
        <v>58</v>
      </c>
      <c r="C53" s="3" t="str">
        <f t="shared" si="15"/>
        <v>城南路街道</v>
      </c>
      <c r="D53" s="3" t="str">
        <f>"天心阁社区"</f>
        <v>天心阁社区</v>
      </c>
      <c r="E53" s="3" t="str">
        <f t="shared" si="0"/>
        <v>140</v>
      </c>
      <c r="F53" s="3" t="str">
        <f t="shared" si="1"/>
        <v>100</v>
      </c>
      <c r="G53" s="3" t="str">
        <f t="shared" si="16"/>
        <v>一级</v>
      </c>
    </row>
    <row r="54" customHeight="1" spans="1:7">
      <c r="A54" s="3" t="str">
        <f>"52"</f>
        <v>52</v>
      </c>
      <c r="B54" s="3" t="s">
        <v>59</v>
      </c>
      <c r="C54" s="3" t="str">
        <f t="shared" si="17"/>
        <v>坡子街街道</v>
      </c>
      <c r="D54" s="3" t="str">
        <f>"登仁桥社区"</f>
        <v>登仁桥社区</v>
      </c>
      <c r="E54" s="3" t="str">
        <f t="shared" si="0"/>
        <v>140</v>
      </c>
      <c r="F54" s="3" t="str">
        <f t="shared" si="1"/>
        <v>100</v>
      </c>
      <c r="G54" s="3" t="str">
        <f t="shared" si="18"/>
        <v>二级</v>
      </c>
    </row>
    <row r="55" customHeight="1" spans="1:7">
      <c r="A55" s="3" t="str">
        <f>"53"</f>
        <v>53</v>
      </c>
      <c r="B55" s="3" t="s">
        <v>60</v>
      </c>
      <c r="C55" s="3" t="str">
        <f>"城南路街道"</f>
        <v>城南路街道</v>
      </c>
      <c r="D55" s="3" t="str">
        <f>"天心阁社区"</f>
        <v>天心阁社区</v>
      </c>
      <c r="E55" s="3" t="str">
        <f t="shared" si="0"/>
        <v>140</v>
      </c>
      <c r="F55" s="3" t="str">
        <f t="shared" si="1"/>
        <v>100</v>
      </c>
      <c r="G55" s="3" t="str">
        <f t="shared" si="18"/>
        <v>二级</v>
      </c>
    </row>
    <row r="56" customHeight="1" spans="1:7">
      <c r="A56" s="3" t="str">
        <f>"54"</f>
        <v>54</v>
      </c>
      <c r="B56" s="3" t="s">
        <v>61</v>
      </c>
      <c r="C56" s="3" t="str">
        <f>"黑石铺街道"</f>
        <v>黑石铺街道</v>
      </c>
      <c r="D56" s="3" t="str">
        <f>"一力社区"</f>
        <v>一力社区</v>
      </c>
      <c r="E56" s="3" t="str">
        <f t="shared" si="0"/>
        <v>140</v>
      </c>
      <c r="F56" s="3" t="str">
        <f t="shared" si="1"/>
        <v>100</v>
      </c>
      <c r="G56" s="3" t="str">
        <f>"一级"</f>
        <v>一级</v>
      </c>
    </row>
    <row r="57" customHeight="1" spans="1:7">
      <c r="A57" s="3" t="str">
        <f>"55"</f>
        <v>55</v>
      </c>
      <c r="B57" s="3" t="s">
        <v>32</v>
      </c>
      <c r="C57" s="3" t="str">
        <f>"坡子街街道"</f>
        <v>坡子街街道</v>
      </c>
      <c r="D57" s="3" t="str">
        <f>"西湖社区"</f>
        <v>西湖社区</v>
      </c>
      <c r="E57" s="3" t="str">
        <f t="shared" si="0"/>
        <v>140</v>
      </c>
      <c r="F57" s="3" t="str">
        <f t="shared" si="1"/>
        <v>100</v>
      </c>
      <c r="G57" s="3" t="str">
        <f t="shared" ref="G57:G61" si="19">"二级"</f>
        <v>二级</v>
      </c>
    </row>
    <row r="58" customHeight="1" spans="1:7">
      <c r="A58" s="3" t="str">
        <f>"56"</f>
        <v>56</v>
      </c>
      <c r="B58" s="3" t="s">
        <v>62</v>
      </c>
      <c r="C58" s="3" t="str">
        <f>"坡子街街道"</f>
        <v>坡子街街道</v>
      </c>
      <c r="D58" s="3" t="str">
        <f>"青山祠社区"</f>
        <v>青山祠社区</v>
      </c>
      <c r="E58" s="3" t="str">
        <f t="shared" si="0"/>
        <v>140</v>
      </c>
      <c r="F58" s="3" t="str">
        <f t="shared" si="1"/>
        <v>100</v>
      </c>
      <c r="G58" s="3" t="str">
        <f t="shared" si="19"/>
        <v>二级</v>
      </c>
    </row>
    <row r="59" customHeight="1" spans="1:7">
      <c r="A59" s="3" t="str">
        <f>"57"</f>
        <v>57</v>
      </c>
      <c r="B59" s="3" t="s">
        <v>63</v>
      </c>
      <c r="C59" s="3" t="str">
        <f>"城南路街道"</f>
        <v>城南路街道</v>
      </c>
      <c r="D59" s="3" t="str">
        <f>"熙台岭社区"</f>
        <v>熙台岭社区</v>
      </c>
      <c r="E59" s="3" t="str">
        <f t="shared" si="0"/>
        <v>140</v>
      </c>
      <c r="F59" s="3" t="str">
        <f t="shared" si="1"/>
        <v>100</v>
      </c>
      <c r="G59" s="3" t="str">
        <f t="shared" si="19"/>
        <v>二级</v>
      </c>
    </row>
    <row r="60" customHeight="1" spans="1:7">
      <c r="A60" s="3" t="str">
        <f>"58"</f>
        <v>58</v>
      </c>
      <c r="B60" s="3" t="s">
        <v>64</v>
      </c>
      <c r="C60" s="3" t="str">
        <f>"金盆岭街道"</f>
        <v>金盆岭街道</v>
      </c>
      <c r="D60" s="3" t="str">
        <f>"天剑社区"</f>
        <v>天剑社区</v>
      </c>
      <c r="E60" s="3" t="str">
        <f t="shared" si="0"/>
        <v>140</v>
      </c>
      <c r="F60" s="3" t="str">
        <f t="shared" si="1"/>
        <v>100</v>
      </c>
      <c r="G60" s="3" t="str">
        <f t="shared" si="19"/>
        <v>二级</v>
      </c>
    </row>
    <row r="61" customHeight="1" spans="1:7">
      <c r="A61" s="3" t="str">
        <f>"59"</f>
        <v>59</v>
      </c>
      <c r="B61" s="3" t="s">
        <v>65</v>
      </c>
      <c r="C61" s="3" t="str">
        <f>"新开铺街道"</f>
        <v>新开铺街道</v>
      </c>
      <c r="D61" s="3" t="str">
        <f>"新开铺社区"</f>
        <v>新开铺社区</v>
      </c>
      <c r="E61" s="3" t="str">
        <f t="shared" si="0"/>
        <v>140</v>
      </c>
      <c r="F61" s="3" t="str">
        <f t="shared" si="1"/>
        <v>100</v>
      </c>
      <c r="G61" s="3" t="str">
        <f t="shared" si="19"/>
        <v>二级</v>
      </c>
    </row>
    <row r="62" customHeight="1" spans="1:7">
      <c r="A62" s="3" t="str">
        <f>"60"</f>
        <v>60</v>
      </c>
      <c r="B62" s="3" t="s">
        <v>66</v>
      </c>
      <c r="C62" s="3" t="str">
        <f t="shared" ref="C62:C64" si="20">"裕南街街道"</f>
        <v>裕南街街道</v>
      </c>
      <c r="D62" s="3" t="str">
        <f>"火把山社区"</f>
        <v>火把山社区</v>
      </c>
      <c r="E62" s="3" t="str">
        <f t="shared" si="0"/>
        <v>140</v>
      </c>
      <c r="F62" s="3" t="str">
        <f t="shared" si="1"/>
        <v>100</v>
      </c>
      <c r="G62" s="3" t="str">
        <f t="shared" ref="G62:G65" si="21">"一级"</f>
        <v>一级</v>
      </c>
    </row>
    <row r="63" customHeight="1" spans="1:7">
      <c r="A63" s="3" t="str">
        <f>"61"</f>
        <v>61</v>
      </c>
      <c r="B63" s="3" t="s">
        <v>67</v>
      </c>
      <c r="C63" s="3" t="str">
        <f t="shared" si="20"/>
        <v>裕南街街道</v>
      </c>
      <c r="D63" s="3" t="str">
        <f>"向东南社区"</f>
        <v>向东南社区</v>
      </c>
      <c r="E63" s="3" t="str">
        <f t="shared" si="0"/>
        <v>140</v>
      </c>
      <c r="F63" s="3" t="str">
        <f t="shared" si="1"/>
        <v>100</v>
      </c>
      <c r="G63" s="3" t="str">
        <f t="shared" ref="G63:G67" si="22">"二级"</f>
        <v>二级</v>
      </c>
    </row>
    <row r="64" customHeight="1" spans="1:7">
      <c r="A64" s="3" t="str">
        <f>"62"</f>
        <v>62</v>
      </c>
      <c r="B64" s="3" t="s">
        <v>68</v>
      </c>
      <c r="C64" s="3" t="str">
        <f t="shared" si="20"/>
        <v>裕南街街道</v>
      </c>
      <c r="D64" s="3" t="str">
        <f>"宝塔山社区"</f>
        <v>宝塔山社区</v>
      </c>
      <c r="E64" s="3" t="str">
        <f t="shared" si="0"/>
        <v>140</v>
      </c>
      <c r="F64" s="3" t="str">
        <f t="shared" si="1"/>
        <v>100</v>
      </c>
      <c r="G64" s="3" t="str">
        <f t="shared" si="21"/>
        <v>一级</v>
      </c>
    </row>
    <row r="65" customHeight="1" spans="1:7">
      <c r="A65" s="3" t="str">
        <f>"63"</f>
        <v>63</v>
      </c>
      <c r="B65" s="3" t="s">
        <v>69</v>
      </c>
      <c r="C65" s="3" t="str">
        <f>"金盆岭街道"</f>
        <v>金盆岭街道</v>
      </c>
      <c r="D65" s="3" t="str">
        <f>"涂新社区"</f>
        <v>涂新社区</v>
      </c>
      <c r="E65" s="3" t="str">
        <f t="shared" si="0"/>
        <v>140</v>
      </c>
      <c r="F65" s="3" t="str">
        <f t="shared" si="1"/>
        <v>100</v>
      </c>
      <c r="G65" s="3" t="str">
        <f t="shared" si="21"/>
        <v>一级</v>
      </c>
    </row>
    <row r="66" customHeight="1" spans="1:7">
      <c r="A66" s="3" t="str">
        <f>"64"</f>
        <v>64</v>
      </c>
      <c r="B66" s="3" t="s">
        <v>70</v>
      </c>
      <c r="C66" s="3" t="str">
        <f t="shared" ref="C66:C72" si="23">"赤岭路街道"</f>
        <v>赤岭路街道</v>
      </c>
      <c r="D66" s="3" t="str">
        <f>"广厦新村社区"</f>
        <v>广厦新村社区</v>
      </c>
      <c r="E66" s="3" t="str">
        <f t="shared" si="0"/>
        <v>140</v>
      </c>
      <c r="F66" s="3" t="str">
        <f t="shared" si="1"/>
        <v>100</v>
      </c>
      <c r="G66" s="3" t="str">
        <f t="shared" si="22"/>
        <v>二级</v>
      </c>
    </row>
    <row r="67" customHeight="1" spans="1:7">
      <c r="A67" s="3" t="str">
        <f>"65"</f>
        <v>65</v>
      </c>
      <c r="B67" s="3" t="s">
        <v>68</v>
      </c>
      <c r="C67" s="3" t="str">
        <f>"坡子街街道"</f>
        <v>坡子街街道</v>
      </c>
      <c r="D67" s="3" t="str">
        <f>"登仁桥社区"</f>
        <v>登仁桥社区</v>
      </c>
      <c r="E67" s="3" t="str">
        <f t="shared" ref="E67:E130" si="24">"140"</f>
        <v>140</v>
      </c>
      <c r="F67" s="3" t="str">
        <f t="shared" ref="F67:F107" si="25">"100"</f>
        <v>100</v>
      </c>
      <c r="G67" s="3" t="str">
        <f t="shared" si="22"/>
        <v>二级</v>
      </c>
    </row>
    <row r="68" customHeight="1" spans="1:7">
      <c r="A68" s="3" t="str">
        <f>"66"</f>
        <v>66</v>
      </c>
      <c r="B68" s="3" t="s">
        <v>71</v>
      </c>
      <c r="C68" s="3" t="str">
        <f t="shared" si="23"/>
        <v>赤岭路街道</v>
      </c>
      <c r="D68" s="3" t="str">
        <f>"猴子石社区"</f>
        <v>猴子石社区</v>
      </c>
      <c r="E68" s="3" t="str">
        <f t="shared" si="24"/>
        <v>140</v>
      </c>
      <c r="F68" s="3" t="str">
        <f t="shared" si="25"/>
        <v>100</v>
      </c>
      <c r="G68" s="3" t="str">
        <f t="shared" ref="G68:G72" si="26">"一级"</f>
        <v>一级</v>
      </c>
    </row>
    <row r="69" customHeight="1" spans="1:7">
      <c r="A69" s="3" t="str">
        <f>"67"</f>
        <v>67</v>
      </c>
      <c r="B69" s="3" t="s">
        <v>72</v>
      </c>
      <c r="C69" s="3" t="str">
        <f>"城南路街道"</f>
        <v>城南路街道</v>
      </c>
      <c r="D69" s="3" t="str">
        <f>"天心阁社区"</f>
        <v>天心阁社区</v>
      </c>
      <c r="E69" s="3" t="str">
        <f t="shared" si="24"/>
        <v>140</v>
      </c>
      <c r="F69" s="3" t="str">
        <f t="shared" si="25"/>
        <v>100</v>
      </c>
      <c r="G69" s="3" t="str">
        <f t="shared" ref="G69:G78" si="27">"二级"</f>
        <v>二级</v>
      </c>
    </row>
    <row r="70" customHeight="1" spans="1:7">
      <c r="A70" s="3" t="str">
        <f>"68"</f>
        <v>68</v>
      </c>
      <c r="B70" s="3" t="s">
        <v>73</v>
      </c>
      <c r="C70" s="3" t="str">
        <f>"新开铺街道"</f>
        <v>新开铺街道</v>
      </c>
      <c r="D70" s="3" t="str">
        <f>"新开铺社区"</f>
        <v>新开铺社区</v>
      </c>
      <c r="E70" s="3" t="str">
        <f t="shared" si="24"/>
        <v>140</v>
      </c>
      <c r="F70" s="3" t="str">
        <f t="shared" si="25"/>
        <v>100</v>
      </c>
      <c r="G70" s="3" t="str">
        <f t="shared" si="26"/>
        <v>一级</v>
      </c>
    </row>
    <row r="71" customHeight="1" spans="1:7">
      <c r="A71" s="3" t="str">
        <f>"69"</f>
        <v>69</v>
      </c>
      <c r="B71" s="3" t="s">
        <v>74</v>
      </c>
      <c r="C71" s="3" t="str">
        <f t="shared" si="23"/>
        <v>赤岭路街道</v>
      </c>
      <c r="D71" s="3" t="str">
        <f>"新丰社区"</f>
        <v>新丰社区</v>
      </c>
      <c r="E71" s="3" t="str">
        <f t="shared" si="24"/>
        <v>140</v>
      </c>
      <c r="F71" s="3" t="str">
        <f t="shared" si="25"/>
        <v>100</v>
      </c>
      <c r="G71" s="3" t="str">
        <f t="shared" si="27"/>
        <v>二级</v>
      </c>
    </row>
    <row r="72" customHeight="1" spans="1:7">
      <c r="A72" s="3" t="str">
        <f>"70"</f>
        <v>70</v>
      </c>
      <c r="B72" s="3" t="s">
        <v>75</v>
      </c>
      <c r="C72" s="3" t="str">
        <f t="shared" si="23"/>
        <v>赤岭路街道</v>
      </c>
      <c r="D72" s="3" t="str">
        <f>"广厦新村社区"</f>
        <v>广厦新村社区</v>
      </c>
      <c r="E72" s="3" t="str">
        <f t="shared" si="24"/>
        <v>140</v>
      </c>
      <c r="F72" s="3" t="str">
        <f t="shared" si="25"/>
        <v>100</v>
      </c>
      <c r="G72" s="3" t="str">
        <f t="shared" si="26"/>
        <v>一级</v>
      </c>
    </row>
    <row r="73" customHeight="1" spans="1:7">
      <c r="A73" s="3" t="str">
        <f>"71"</f>
        <v>71</v>
      </c>
      <c r="B73" s="3" t="s">
        <v>76</v>
      </c>
      <c r="C73" s="3" t="str">
        <f>"裕南街街道"</f>
        <v>裕南街街道</v>
      </c>
      <c r="D73" s="3" t="str">
        <f>"碧沙湖社区"</f>
        <v>碧沙湖社区</v>
      </c>
      <c r="E73" s="3" t="str">
        <f t="shared" si="24"/>
        <v>140</v>
      </c>
      <c r="F73" s="3" t="str">
        <f t="shared" si="25"/>
        <v>100</v>
      </c>
      <c r="G73" s="3" t="str">
        <f t="shared" si="27"/>
        <v>二级</v>
      </c>
    </row>
    <row r="74" customHeight="1" spans="1:7">
      <c r="A74" s="3" t="str">
        <f>"72"</f>
        <v>72</v>
      </c>
      <c r="B74" s="3" t="s">
        <v>77</v>
      </c>
      <c r="C74" s="3" t="str">
        <f>"赤岭路街道"</f>
        <v>赤岭路街道</v>
      </c>
      <c r="D74" s="3" t="str">
        <f>"猴子石社区"</f>
        <v>猴子石社区</v>
      </c>
      <c r="E74" s="3" t="str">
        <f t="shared" si="24"/>
        <v>140</v>
      </c>
      <c r="F74" s="3" t="str">
        <f t="shared" si="25"/>
        <v>100</v>
      </c>
      <c r="G74" s="3" t="str">
        <f t="shared" si="27"/>
        <v>二级</v>
      </c>
    </row>
    <row r="75" customHeight="1" spans="1:7">
      <c r="A75" s="3" t="str">
        <f>"73"</f>
        <v>73</v>
      </c>
      <c r="B75" s="3" t="s">
        <v>78</v>
      </c>
      <c r="C75" s="3" t="str">
        <f>"城南路街道"</f>
        <v>城南路街道</v>
      </c>
      <c r="D75" s="3" t="str">
        <f>"天心阁社区"</f>
        <v>天心阁社区</v>
      </c>
      <c r="E75" s="3" t="str">
        <f t="shared" si="24"/>
        <v>140</v>
      </c>
      <c r="F75" s="3" t="str">
        <f t="shared" si="25"/>
        <v>100</v>
      </c>
      <c r="G75" s="3" t="str">
        <f t="shared" si="27"/>
        <v>二级</v>
      </c>
    </row>
    <row r="76" customHeight="1" spans="1:7">
      <c r="A76" s="3" t="str">
        <f>"74"</f>
        <v>74</v>
      </c>
      <c r="B76" s="3" t="s">
        <v>79</v>
      </c>
      <c r="C76" s="3" t="str">
        <f>"新开铺街道"</f>
        <v>新开铺街道</v>
      </c>
      <c r="D76" s="3" t="str">
        <f>"新开铺社区"</f>
        <v>新开铺社区</v>
      </c>
      <c r="E76" s="3" t="str">
        <f t="shared" si="24"/>
        <v>140</v>
      </c>
      <c r="F76" s="3" t="str">
        <f t="shared" si="25"/>
        <v>100</v>
      </c>
      <c r="G76" s="3" t="str">
        <f t="shared" si="27"/>
        <v>二级</v>
      </c>
    </row>
    <row r="77" customHeight="1" spans="1:7">
      <c r="A77" s="3" t="str">
        <f>"75"</f>
        <v>75</v>
      </c>
      <c r="B77" s="3" t="s">
        <v>80</v>
      </c>
      <c r="C77" s="3" t="str">
        <f>"先锋街道"</f>
        <v>先锋街道</v>
      </c>
      <c r="D77" s="3" t="str">
        <f>"新宇社区"</f>
        <v>新宇社区</v>
      </c>
      <c r="E77" s="3" t="str">
        <f t="shared" si="24"/>
        <v>140</v>
      </c>
      <c r="F77" s="3" t="str">
        <f t="shared" si="25"/>
        <v>100</v>
      </c>
      <c r="G77" s="3" t="str">
        <f t="shared" si="27"/>
        <v>二级</v>
      </c>
    </row>
    <row r="78" customHeight="1" spans="1:7">
      <c r="A78" s="3" t="str">
        <f>"76"</f>
        <v>76</v>
      </c>
      <c r="B78" s="3" t="s">
        <v>81</v>
      </c>
      <c r="C78" s="3" t="str">
        <f>"青园街道"</f>
        <v>青园街道</v>
      </c>
      <c r="D78" s="3" t="str">
        <f>"井湾子社区"</f>
        <v>井湾子社区</v>
      </c>
      <c r="E78" s="3" t="str">
        <f t="shared" si="24"/>
        <v>140</v>
      </c>
      <c r="F78" s="3" t="str">
        <f t="shared" si="25"/>
        <v>100</v>
      </c>
      <c r="G78" s="3" t="str">
        <f t="shared" si="27"/>
        <v>二级</v>
      </c>
    </row>
    <row r="79" customHeight="1" spans="1:7">
      <c r="A79" s="3" t="str">
        <f>"77"</f>
        <v>77</v>
      </c>
      <c r="B79" s="3" t="s">
        <v>82</v>
      </c>
      <c r="C79" s="3" t="str">
        <f>"桂花坪街道"</f>
        <v>桂花坪街道</v>
      </c>
      <c r="D79" s="3" t="str">
        <f>"桂庄社区"</f>
        <v>桂庄社区</v>
      </c>
      <c r="E79" s="3" t="str">
        <f t="shared" si="24"/>
        <v>140</v>
      </c>
      <c r="F79" s="3" t="str">
        <f t="shared" si="25"/>
        <v>100</v>
      </c>
      <c r="G79" s="3" t="str">
        <f>"一级"</f>
        <v>一级</v>
      </c>
    </row>
    <row r="80" customHeight="1" spans="1:7">
      <c r="A80" s="3" t="str">
        <f>"78"</f>
        <v>78</v>
      </c>
      <c r="B80" s="3" t="s">
        <v>83</v>
      </c>
      <c r="C80" s="3" t="str">
        <f>"金盆岭街道"</f>
        <v>金盆岭街道</v>
      </c>
      <c r="D80" s="3" t="str">
        <f>"涂新社区"</f>
        <v>涂新社区</v>
      </c>
      <c r="E80" s="3" t="str">
        <f t="shared" si="24"/>
        <v>140</v>
      </c>
      <c r="F80" s="3" t="str">
        <f t="shared" si="25"/>
        <v>100</v>
      </c>
      <c r="G80" s="3" t="str">
        <f t="shared" ref="G80:G84" si="28">"二级"</f>
        <v>二级</v>
      </c>
    </row>
    <row r="81" customHeight="1" spans="1:7">
      <c r="A81" s="3" t="str">
        <f>"79"</f>
        <v>79</v>
      </c>
      <c r="B81" s="3" t="s">
        <v>84</v>
      </c>
      <c r="C81" s="3" t="str">
        <f>"先锋街道"</f>
        <v>先锋街道</v>
      </c>
      <c r="D81" s="3" t="str">
        <f>"新路村委会"</f>
        <v>新路村委会</v>
      </c>
      <c r="E81" s="3" t="str">
        <f t="shared" si="24"/>
        <v>140</v>
      </c>
      <c r="F81" s="3" t="str">
        <f t="shared" si="25"/>
        <v>100</v>
      </c>
      <c r="G81" s="3" t="str">
        <f t="shared" ref="G81:G86" si="29">"一级"</f>
        <v>一级</v>
      </c>
    </row>
    <row r="82" customHeight="1" spans="1:7">
      <c r="A82" s="3" t="str">
        <f>"80"</f>
        <v>80</v>
      </c>
      <c r="B82" s="3" t="s">
        <v>85</v>
      </c>
      <c r="C82" s="3" t="str">
        <f>"金盆岭街道"</f>
        <v>金盆岭街道</v>
      </c>
      <c r="D82" s="3" t="str">
        <f>"黄土岭社区"</f>
        <v>黄土岭社区</v>
      </c>
      <c r="E82" s="3" t="str">
        <f t="shared" si="24"/>
        <v>140</v>
      </c>
      <c r="F82" s="3" t="str">
        <f t="shared" si="25"/>
        <v>100</v>
      </c>
      <c r="G82" s="3" t="str">
        <f t="shared" si="28"/>
        <v>二级</v>
      </c>
    </row>
    <row r="83" customHeight="1" spans="1:7">
      <c r="A83" s="3" t="str">
        <f>"81"</f>
        <v>81</v>
      </c>
      <c r="B83" s="3" t="s">
        <v>86</v>
      </c>
      <c r="C83" s="3" t="str">
        <f>"坡子街街道"</f>
        <v>坡子街街道</v>
      </c>
      <c r="D83" s="3" t="str">
        <f>"西湖社区"</f>
        <v>西湖社区</v>
      </c>
      <c r="E83" s="3" t="str">
        <f t="shared" si="24"/>
        <v>140</v>
      </c>
      <c r="F83" s="3" t="str">
        <f t="shared" si="25"/>
        <v>100</v>
      </c>
      <c r="G83" s="3" t="str">
        <f t="shared" si="28"/>
        <v>二级</v>
      </c>
    </row>
    <row r="84" customHeight="1" spans="1:7">
      <c r="A84" s="3" t="str">
        <f>"82"</f>
        <v>82</v>
      </c>
      <c r="B84" s="3" t="s">
        <v>87</v>
      </c>
      <c r="C84" s="3" t="str">
        <f>"裕南街街道"</f>
        <v>裕南街街道</v>
      </c>
      <c r="D84" s="3" t="str">
        <f>"裕南街社区"</f>
        <v>裕南街社区</v>
      </c>
      <c r="E84" s="3" t="str">
        <f t="shared" si="24"/>
        <v>140</v>
      </c>
      <c r="F84" s="3" t="str">
        <f t="shared" si="25"/>
        <v>100</v>
      </c>
      <c r="G84" s="3" t="str">
        <f t="shared" si="28"/>
        <v>二级</v>
      </c>
    </row>
    <row r="85" customHeight="1" spans="1:7">
      <c r="A85" s="3" t="str">
        <f>"83"</f>
        <v>83</v>
      </c>
      <c r="B85" s="3" t="s">
        <v>88</v>
      </c>
      <c r="C85" s="3" t="str">
        <f>"裕南街街道"</f>
        <v>裕南街街道</v>
      </c>
      <c r="D85" s="3" t="str">
        <f>"杏花园社区"</f>
        <v>杏花园社区</v>
      </c>
      <c r="E85" s="3" t="str">
        <f t="shared" si="24"/>
        <v>140</v>
      </c>
      <c r="F85" s="3" t="str">
        <f t="shared" si="25"/>
        <v>100</v>
      </c>
      <c r="G85" s="3" t="str">
        <f t="shared" si="29"/>
        <v>一级</v>
      </c>
    </row>
    <row r="86" customHeight="1" spans="1:7">
      <c r="A86" s="3" t="str">
        <f>"84"</f>
        <v>84</v>
      </c>
      <c r="B86" s="3" t="s">
        <v>89</v>
      </c>
      <c r="C86" s="3" t="str">
        <f>"坡子街街道"</f>
        <v>坡子街街道</v>
      </c>
      <c r="D86" s="3" t="str">
        <f>"坡子街社区"</f>
        <v>坡子街社区</v>
      </c>
      <c r="E86" s="3" t="str">
        <f t="shared" si="24"/>
        <v>140</v>
      </c>
      <c r="F86" s="3" t="str">
        <f t="shared" si="25"/>
        <v>100</v>
      </c>
      <c r="G86" s="3" t="str">
        <f t="shared" si="29"/>
        <v>一级</v>
      </c>
    </row>
    <row r="87" customHeight="1" spans="1:7">
      <c r="A87" s="3" t="str">
        <f>"85"</f>
        <v>85</v>
      </c>
      <c r="B87" s="3" t="s">
        <v>90</v>
      </c>
      <c r="C87" s="3" t="str">
        <f>"赤岭路街道"</f>
        <v>赤岭路街道</v>
      </c>
      <c r="D87" s="3" t="str">
        <f>"广厦新村社区"</f>
        <v>广厦新村社区</v>
      </c>
      <c r="E87" s="3" t="str">
        <f t="shared" si="24"/>
        <v>140</v>
      </c>
      <c r="F87" s="3" t="str">
        <f t="shared" si="25"/>
        <v>100</v>
      </c>
      <c r="G87" s="3" t="str">
        <f t="shared" ref="G87:G92" si="30">"二级"</f>
        <v>二级</v>
      </c>
    </row>
    <row r="88" customHeight="1" spans="1:7">
      <c r="A88" s="3" t="str">
        <f>"86"</f>
        <v>86</v>
      </c>
      <c r="B88" s="3" t="s">
        <v>91</v>
      </c>
      <c r="C88" s="3" t="str">
        <f>"文源街道"</f>
        <v>文源街道</v>
      </c>
      <c r="D88" s="3" t="str">
        <f>"梅岭社区"</f>
        <v>梅岭社区</v>
      </c>
      <c r="E88" s="3" t="str">
        <f t="shared" si="24"/>
        <v>140</v>
      </c>
      <c r="F88" s="3" t="str">
        <f t="shared" si="25"/>
        <v>100</v>
      </c>
      <c r="G88" s="3" t="str">
        <f t="shared" si="30"/>
        <v>二级</v>
      </c>
    </row>
    <row r="89" customHeight="1" spans="1:7">
      <c r="A89" s="3" t="str">
        <f>"87"</f>
        <v>87</v>
      </c>
      <c r="B89" s="3" t="s">
        <v>92</v>
      </c>
      <c r="C89" s="3" t="str">
        <f>"新开铺街道"</f>
        <v>新开铺街道</v>
      </c>
      <c r="D89" s="3" t="str">
        <f>"木莲社区"</f>
        <v>木莲社区</v>
      </c>
      <c r="E89" s="3" t="str">
        <f t="shared" si="24"/>
        <v>140</v>
      </c>
      <c r="F89" s="3" t="str">
        <f t="shared" si="25"/>
        <v>100</v>
      </c>
      <c r="G89" s="3" t="str">
        <f t="shared" si="30"/>
        <v>二级</v>
      </c>
    </row>
    <row r="90" customHeight="1" spans="1:7">
      <c r="A90" s="3" t="str">
        <f>"88"</f>
        <v>88</v>
      </c>
      <c r="B90" s="3" t="s">
        <v>93</v>
      </c>
      <c r="C90" s="3" t="str">
        <f t="shared" ref="C90:C93" si="31">"裕南街街道"</f>
        <v>裕南街街道</v>
      </c>
      <c r="D90" s="3" t="str">
        <f>"裕南街社区"</f>
        <v>裕南街社区</v>
      </c>
      <c r="E90" s="3" t="str">
        <f t="shared" si="24"/>
        <v>140</v>
      </c>
      <c r="F90" s="3" t="str">
        <f t="shared" si="25"/>
        <v>100</v>
      </c>
      <c r="G90" s="3" t="str">
        <f t="shared" si="30"/>
        <v>二级</v>
      </c>
    </row>
    <row r="91" customHeight="1" spans="1:7">
      <c r="A91" s="3" t="str">
        <f>"89"</f>
        <v>89</v>
      </c>
      <c r="B91" s="3" t="s">
        <v>94</v>
      </c>
      <c r="C91" s="3" t="str">
        <f>"文源街道"</f>
        <v>文源街道</v>
      </c>
      <c r="D91" s="3" t="str">
        <f>"天鸿社区"</f>
        <v>天鸿社区</v>
      </c>
      <c r="E91" s="3" t="str">
        <f t="shared" si="24"/>
        <v>140</v>
      </c>
      <c r="F91" s="3" t="str">
        <f t="shared" si="25"/>
        <v>100</v>
      </c>
      <c r="G91" s="3" t="str">
        <f t="shared" si="30"/>
        <v>二级</v>
      </c>
    </row>
    <row r="92" customHeight="1" spans="1:7">
      <c r="A92" s="3" t="str">
        <f>"90"</f>
        <v>90</v>
      </c>
      <c r="B92" s="3" t="s">
        <v>95</v>
      </c>
      <c r="C92" s="3" t="str">
        <f t="shared" si="31"/>
        <v>裕南街街道</v>
      </c>
      <c r="D92" s="3" t="str">
        <f>"南站社区"</f>
        <v>南站社区</v>
      </c>
      <c r="E92" s="3" t="str">
        <f t="shared" si="24"/>
        <v>140</v>
      </c>
      <c r="F92" s="3" t="str">
        <f t="shared" si="25"/>
        <v>100</v>
      </c>
      <c r="G92" s="3" t="str">
        <f t="shared" si="30"/>
        <v>二级</v>
      </c>
    </row>
    <row r="93" customHeight="1" spans="1:7">
      <c r="A93" s="3" t="str">
        <f>"91"</f>
        <v>91</v>
      </c>
      <c r="B93" s="3" t="s">
        <v>96</v>
      </c>
      <c r="C93" s="3" t="str">
        <f t="shared" si="31"/>
        <v>裕南街街道</v>
      </c>
      <c r="D93" s="3" t="str">
        <f>"东瓜山社区"</f>
        <v>东瓜山社区</v>
      </c>
      <c r="E93" s="3" t="str">
        <f t="shared" si="24"/>
        <v>140</v>
      </c>
      <c r="F93" s="3" t="str">
        <f t="shared" si="25"/>
        <v>100</v>
      </c>
      <c r="G93" s="3" t="str">
        <f t="shared" ref="G93:G99" si="32">"一级"</f>
        <v>一级</v>
      </c>
    </row>
    <row r="94" customHeight="1" spans="1:7">
      <c r="A94" s="3" t="str">
        <f>"92"</f>
        <v>92</v>
      </c>
      <c r="B94" s="3" t="s">
        <v>54</v>
      </c>
      <c r="C94" s="3" t="str">
        <f>"城南路街道"</f>
        <v>城南路街道</v>
      </c>
      <c r="D94" s="3" t="str">
        <f>"燕子岭社区"</f>
        <v>燕子岭社区</v>
      </c>
      <c r="E94" s="3" t="str">
        <f t="shared" si="24"/>
        <v>140</v>
      </c>
      <c r="F94" s="3" t="str">
        <f t="shared" si="25"/>
        <v>100</v>
      </c>
      <c r="G94" s="3" t="str">
        <f t="shared" si="32"/>
        <v>一级</v>
      </c>
    </row>
    <row r="95" customHeight="1" spans="1:7">
      <c r="A95" s="3" t="str">
        <f>"93"</f>
        <v>93</v>
      </c>
      <c r="B95" s="3" t="s">
        <v>76</v>
      </c>
      <c r="C95" s="3" t="str">
        <f>"坡子街街道"</f>
        <v>坡子街街道</v>
      </c>
      <c r="D95" s="3" t="str">
        <f>"坡子街社区"</f>
        <v>坡子街社区</v>
      </c>
      <c r="E95" s="3" t="str">
        <f t="shared" si="24"/>
        <v>140</v>
      </c>
      <c r="F95" s="3" t="str">
        <f t="shared" si="25"/>
        <v>100</v>
      </c>
      <c r="G95" s="3" t="str">
        <f>"二级"</f>
        <v>二级</v>
      </c>
    </row>
    <row r="96" customHeight="1" spans="1:7">
      <c r="A96" s="3" t="str">
        <f>"94"</f>
        <v>94</v>
      </c>
      <c r="B96" s="3" t="s">
        <v>97</v>
      </c>
      <c r="C96" s="3" t="str">
        <f>"新开铺街道"</f>
        <v>新开铺街道</v>
      </c>
      <c r="D96" s="3" t="str">
        <f>"新开铺社区"</f>
        <v>新开铺社区</v>
      </c>
      <c r="E96" s="3" t="str">
        <f t="shared" si="24"/>
        <v>140</v>
      </c>
      <c r="F96" s="3" t="str">
        <f t="shared" si="25"/>
        <v>100</v>
      </c>
      <c r="G96" s="3" t="str">
        <f t="shared" si="32"/>
        <v>一级</v>
      </c>
    </row>
    <row r="97" customHeight="1" spans="1:7">
      <c r="A97" s="3" t="str">
        <f>"95"</f>
        <v>95</v>
      </c>
      <c r="B97" s="3" t="s">
        <v>98</v>
      </c>
      <c r="C97" s="3" t="str">
        <f>"坡子街街道"</f>
        <v>坡子街街道</v>
      </c>
      <c r="D97" s="3" t="str">
        <f>"碧湘社区"</f>
        <v>碧湘社区</v>
      </c>
      <c r="E97" s="3" t="str">
        <f t="shared" si="24"/>
        <v>140</v>
      </c>
      <c r="F97" s="3" t="str">
        <f t="shared" si="25"/>
        <v>100</v>
      </c>
      <c r="G97" s="3" t="str">
        <f t="shared" si="32"/>
        <v>一级</v>
      </c>
    </row>
    <row r="98" customHeight="1" spans="1:7">
      <c r="A98" s="3" t="str">
        <f>"96"</f>
        <v>96</v>
      </c>
      <c r="B98" s="3" t="s">
        <v>99</v>
      </c>
      <c r="C98" s="3" t="str">
        <f>"裕南街街道"</f>
        <v>裕南街街道</v>
      </c>
      <c r="D98" s="3" t="str">
        <f>"长坡社区"</f>
        <v>长坡社区</v>
      </c>
      <c r="E98" s="3" t="str">
        <f t="shared" si="24"/>
        <v>140</v>
      </c>
      <c r="F98" s="3" t="str">
        <f t="shared" si="25"/>
        <v>100</v>
      </c>
      <c r="G98" s="3" t="str">
        <f t="shared" si="32"/>
        <v>一级</v>
      </c>
    </row>
    <row r="99" customHeight="1" spans="1:7">
      <c r="A99" s="3" t="str">
        <f>"97"</f>
        <v>97</v>
      </c>
      <c r="B99" s="3" t="s">
        <v>100</v>
      </c>
      <c r="C99" s="3" t="str">
        <f>"裕南街街道"</f>
        <v>裕南街街道</v>
      </c>
      <c r="D99" s="3" t="str">
        <f>"石子冲社区"</f>
        <v>石子冲社区</v>
      </c>
      <c r="E99" s="3" t="str">
        <f t="shared" si="24"/>
        <v>140</v>
      </c>
      <c r="F99" s="3" t="str">
        <f t="shared" si="25"/>
        <v>100</v>
      </c>
      <c r="G99" s="3" t="str">
        <f t="shared" si="32"/>
        <v>一级</v>
      </c>
    </row>
    <row r="100" customHeight="1" spans="1:7">
      <c r="A100" s="3" t="str">
        <f>"98"</f>
        <v>98</v>
      </c>
      <c r="B100" s="3" t="s">
        <v>101</v>
      </c>
      <c r="C100" s="3" t="str">
        <f>"城南路街道"</f>
        <v>城南路街道</v>
      </c>
      <c r="D100" s="3" t="str">
        <f>"白沙井社区"</f>
        <v>白沙井社区</v>
      </c>
      <c r="E100" s="3" t="str">
        <f t="shared" si="24"/>
        <v>140</v>
      </c>
      <c r="F100" s="3" t="str">
        <f t="shared" si="25"/>
        <v>100</v>
      </c>
      <c r="G100" s="3" t="str">
        <f t="shared" ref="G100:G105" si="33">"二级"</f>
        <v>二级</v>
      </c>
    </row>
    <row r="101" customHeight="1" spans="1:7">
      <c r="A101" s="3" t="str">
        <f>"99"</f>
        <v>99</v>
      </c>
      <c r="B101" s="3" t="s">
        <v>102</v>
      </c>
      <c r="C101" s="3" t="str">
        <f t="shared" ref="C101:C104" si="34">"赤岭路街道"</f>
        <v>赤岭路街道</v>
      </c>
      <c r="D101" s="3" t="str">
        <f>"新丰社区"</f>
        <v>新丰社区</v>
      </c>
      <c r="E101" s="3" t="str">
        <f t="shared" si="24"/>
        <v>140</v>
      </c>
      <c r="F101" s="3" t="str">
        <f t="shared" si="25"/>
        <v>100</v>
      </c>
      <c r="G101" s="3" t="str">
        <f t="shared" si="33"/>
        <v>二级</v>
      </c>
    </row>
    <row r="102" customHeight="1" spans="1:7">
      <c r="A102" s="3" t="str">
        <f>"100"</f>
        <v>100</v>
      </c>
      <c r="B102" s="3" t="s">
        <v>103</v>
      </c>
      <c r="C102" s="3" t="str">
        <f t="shared" si="34"/>
        <v>赤岭路街道</v>
      </c>
      <c r="D102" s="3" t="str">
        <f>"新丰社区"</f>
        <v>新丰社区</v>
      </c>
      <c r="E102" s="3" t="str">
        <f t="shared" si="24"/>
        <v>140</v>
      </c>
      <c r="F102" s="3" t="str">
        <f t="shared" si="25"/>
        <v>100</v>
      </c>
      <c r="G102" s="3" t="str">
        <f t="shared" si="33"/>
        <v>二级</v>
      </c>
    </row>
    <row r="103" customHeight="1" spans="1:7">
      <c r="A103" s="3" t="str">
        <f>"101"</f>
        <v>101</v>
      </c>
      <c r="B103" s="3" t="s">
        <v>104</v>
      </c>
      <c r="C103" s="3" t="str">
        <f>"大托铺街道"</f>
        <v>大托铺街道</v>
      </c>
      <c r="D103" s="3" t="str">
        <f>"桂井村委会"</f>
        <v>桂井村委会</v>
      </c>
      <c r="E103" s="3" t="str">
        <f t="shared" si="24"/>
        <v>140</v>
      </c>
      <c r="F103" s="3" t="str">
        <f t="shared" si="25"/>
        <v>100</v>
      </c>
      <c r="G103" s="3" t="str">
        <f t="shared" si="33"/>
        <v>二级</v>
      </c>
    </row>
    <row r="104" customHeight="1" spans="1:7">
      <c r="A104" s="3" t="str">
        <f>"102"</f>
        <v>102</v>
      </c>
      <c r="B104" s="3" t="s">
        <v>105</v>
      </c>
      <c r="C104" s="3" t="str">
        <f t="shared" si="34"/>
        <v>赤岭路街道</v>
      </c>
      <c r="D104" s="3" t="str">
        <f>"广厦新村社区"</f>
        <v>广厦新村社区</v>
      </c>
      <c r="E104" s="3" t="str">
        <f t="shared" si="24"/>
        <v>140</v>
      </c>
      <c r="F104" s="3" t="str">
        <f t="shared" si="25"/>
        <v>100</v>
      </c>
      <c r="G104" s="3" t="str">
        <f t="shared" si="33"/>
        <v>二级</v>
      </c>
    </row>
    <row r="105" customHeight="1" spans="1:7">
      <c r="A105" s="3" t="str">
        <f>"103"</f>
        <v>103</v>
      </c>
      <c r="B105" s="3" t="s">
        <v>106</v>
      </c>
      <c r="C105" s="3" t="str">
        <f>"坡子街街道"</f>
        <v>坡子街街道</v>
      </c>
      <c r="D105" s="3" t="str">
        <f>"文庙坪社区"</f>
        <v>文庙坪社区</v>
      </c>
      <c r="E105" s="3" t="str">
        <f t="shared" si="24"/>
        <v>140</v>
      </c>
      <c r="F105" s="3" t="str">
        <f t="shared" si="25"/>
        <v>100</v>
      </c>
      <c r="G105" s="3" t="str">
        <f t="shared" si="33"/>
        <v>二级</v>
      </c>
    </row>
    <row r="106" customHeight="1" spans="1:7">
      <c r="A106" s="3" t="str">
        <f>"104"</f>
        <v>104</v>
      </c>
      <c r="B106" s="3" t="s">
        <v>107</v>
      </c>
      <c r="C106" s="3" t="str">
        <f>"金盆岭街道"</f>
        <v>金盆岭街道</v>
      </c>
      <c r="D106" s="3" t="str">
        <f>"赤岭路社区"</f>
        <v>赤岭路社区</v>
      </c>
      <c r="E106" s="3" t="str">
        <f t="shared" si="24"/>
        <v>140</v>
      </c>
      <c r="F106" s="3" t="str">
        <f t="shared" si="25"/>
        <v>100</v>
      </c>
      <c r="G106" s="3" t="str">
        <f>"一级"</f>
        <v>一级</v>
      </c>
    </row>
    <row r="107" customHeight="1" spans="1:7">
      <c r="A107" s="3" t="str">
        <f>"105"</f>
        <v>105</v>
      </c>
      <c r="B107" s="3" t="s">
        <v>108</v>
      </c>
      <c r="C107" s="3" t="str">
        <f>"坡子街街道"</f>
        <v>坡子街街道</v>
      </c>
      <c r="D107" s="3" t="str">
        <f>"西湖社区"</f>
        <v>西湖社区</v>
      </c>
      <c r="E107" s="3" t="str">
        <f t="shared" si="24"/>
        <v>140</v>
      </c>
      <c r="F107" s="3" t="str">
        <f t="shared" si="25"/>
        <v>100</v>
      </c>
      <c r="G107" s="3" t="str">
        <f>"一级"</f>
        <v>一级</v>
      </c>
    </row>
    <row r="108" customHeight="1" spans="1:7">
      <c r="A108" s="3" t="str">
        <f>"106"</f>
        <v>106</v>
      </c>
      <c r="B108" s="3" t="s">
        <v>109</v>
      </c>
      <c r="C108" s="3" t="str">
        <f>"赤岭路街道"</f>
        <v>赤岭路街道</v>
      </c>
      <c r="D108" s="3" t="str">
        <f>"南大桥社区"</f>
        <v>南大桥社区</v>
      </c>
      <c r="E108" s="3" t="str">
        <f t="shared" si="24"/>
        <v>140</v>
      </c>
      <c r="F108" s="3" t="str">
        <f>"0"</f>
        <v>0</v>
      </c>
      <c r="G108" s="3" t="str">
        <f>"四级"</f>
        <v>四级</v>
      </c>
    </row>
    <row r="109" customHeight="1" spans="1:7">
      <c r="A109" s="3" t="str">
        <f>"107"</f>
        <v>107</v>
      </c>
      <c r="B109" s="3" t="s">
        <v>110</v>
      </c>
      <c r="C109" s="3" t="str">
        <f>"裕南街街道"</f>
        <v>裕南街街道</v>
      </c>
      <c r="D109" s="3" t="str">
        <f>"长坡社区"</f>
        <v>长坡社区</v>
      </c>
      <c r="E109" s="3" t="str">
        <f t="shared" si="24"/>
        <v>140</v>
      </c>
      <c r="F109" s="3" t="str">
        <f t="shared" ref="F109:F172" si="35">"100"</f>
        <v>100</v>
      </c>
      <c r="G109" s="3" t="str">
        <f t="shared" ref="G109:G111" si="36">"二级"</f>
        <v>二级</v>
      </c>
    </row>
    <row r="110" customHeight="1" spans="1:7">
      <c r="A110" s="3" t="str">
        <f>"108"</f>
        <v>108</v>
      </c>
      <c r="B110" s="3" t="s">
        <v>111</v>
      </c>
      <c r="C110" s="3" t="str">
        <f>"新开铺街道"</f>
        <v>新开铺街道</v>
      </c>
      <c r="D110" s="3" t="str">
        <f>"豹子岭社区"</f>
        <v>豹子岭社区</v>
      </c>
      <c r="E110" s="3" t="str">
        <f t="shared" si="24"/>
        <v>140</v>
      </c>
      <c r="F110" s="3" t="str">
        <f t="shared" si="35"/>
        <v>100</v>
      </c>
      <c r="G110" s="3" t="str">
        <f t="shared" si="36"/>
        <v>二级</v>
      </c>
    </row>
    <row r="111" customHeight="1" spans="1:7">
      <c r="A111" s="3" t="str">
        <f>"109"</f>
        <v>109</v>
      </c>
      <c r="B111" s="3" t="s">
        <v>112</v>
      </c>
      <c r="C111" s="3" t="str">
        <f t="shared" ref="C111:C114" si="37">"城南路街道"</f>
        <v>城南路街道</v>
      </c>
      <c r="D111" s="3" t="str">
        <f>"工农桥社区"</f>
        <v>工农桥社区</v>
      </c>
      <c r="E111" s="3" t="str">
        <f t="shared" si="24"/>
        <v>140</v>
      </c>
      <c r="F111" s="3" t="str">
        <f t="shared" si="35"/>
        <v>100</v>
      </c>
      <c r="G111" s="3" t="str">
        <f t="shared" si="36"/>
        <v>二级</v>
      </c>
    </row>
    <row r="112" customHeight="1" spans="1:7">
      <c r="A112" s="3" t="str">
        <f>"110"</f>
        <v>110</v>
      </c>
      <c r="B112" s="3" t="s">
        <v>113</v>
      </c>
      <c r="C112" s="3" t="str">
        <f t="shared" si="37"/>
        <v>城南路街道</v>
      </c>
      <c r="D112" s="3" t="str">
        <f>"熙台岭社区"</f>
        <v>熙台岭社区</v>
      </c>
      <c r="E112" s="3" t="str">
        <f t="shared" si="24"/>
        <v>140</v>
      </c>
      <c r="F112" s="3" t="str">
        <f t="shared" si="35"/>
        <v>100</v>
      </c>
      <c r="G112" s="3" t="str">
        <f>"一级"</f>
        <v>一级</v>
      </c>
    </row>
    <row r="113" customHeight="1" spans="1:7">
      <c r="A113" s="3" t="str">
        <f>"111"</f>
        <v>111</v>
      </c>
      <c r="B113" s="3" t="s">
        <v>32</v>
      </c>
      <c r="C113" s="3" t="str">
        <f>"赤岭路街道"</f>
        <v>赤岭路街道</v>
      </c>
      <c r="D113" s="3" t="str">
        <f>"芙蓉南路社区"</f>
        <v>芙蓉南路社区</v>
      </c>
      <c r="E113" s="3" t="str">
        <f t="shared" si="24"/>
        <v>140</v>
      </c>
      <c r="F113" s="3" t="str">
        <f t="shared" si="35"/>
        <v>100</v>
      </c>
      <c r="G113" s="3" t="str">
        <f t="shared" ref="G113:G126" si="38">"二级"</f>
        <v>二级</v>
      </c>
    </row>
    <row r="114" customHeight="1" spans="1:7">
      <c r="A114" s="3" t="str">
        <f>"112"</f>
        <v>112</v>
      </c>
      <c r="B114" s="3" t="s">
        <v>114</v>
      </c>
      <c r="C114" s="3" t="str">
        <f t="shared" si="37"/>
        <v>城南路街道</v>
      </c>
      <c r="D114" s="3" t="str">
        <f>"熙台岭社区"</f>
        <v>熙台岭社区</v>
      </c>
      <c r="E114" s="3" t="str">
        <f t="shared" si="24"/>
        <v>140</v>
      </c>
      <c r="F114" s="3" t="str">
        <f t="shared" si="35"/>
        <v>100</v>
      </c>
      <c r="G114" s="3" t="str">
        <f t="shared" si="38"/>
        <v>二级</v>
      </c>
    </row>
    <row r="115" customHeight="1" spans="1:7">
      <c r="A115" s="3" t="str">
        <f>"113"</f>
        <v>113</v>
      </c>
      <c r="B115" s="3" t="s">
        <v>115</v>
      </c>
      <c r="C115" s="3" t="str">
        <f t="shared" ref="C115:C118" si="39">"坡子街街道"</f>
        <v>坡子街街道</v>
      </c>
      <c r="D115" s="3" t="str">
        <f>"登仁桥社区"</f>
        <v>登仁桥社区</v>
      </c>
      <c r="E115" s="3" t="str">
        <f t="shared" si="24"/>
        <v>140</v>
      </c>
      <c r="F115" s="3" t="str">
        <f t="shared" si="35"/>
        <v>100</v>
      </c>
      <c r="G115" s="3" t="str">
        <f t="shared" si="38"/>
        <v>二级</v>
      </c>
    </row>
    <row r="116" customHeight="1" spans="1:7">
      <c r="A116" s="3" t="str">
        <f>"114"</f>
        <v>114</v>
      </c>
      <c r="B116" s="3" t="s">
        <v>116</v>
      </c>
      <c r="C116" s="3" t="str">
        <f t="shared" si="39"/>
        <v>坡子街街道</v>
      </c>
      <c r="D116" s="3" t="str">
        <f>"楚湘社区"</f>
        <v>楚湘社区</v>
      </c>
      <c r="E116" s="3" t="str">
        <f t="shared" si="24"/>
        <v>140</v>
      </c>
      <c r="F116" s="3" t="str">
        <f t="shared" si="35"/>
        <v>100</v>
      </c>
      <c r="G116" s="3" t="str">
        <f t="shared" si="38"/>
        <v>二级</v>
      </c>
    </row>
    <row r="117" customHeight="1" spans="1:7">
      <c r="A117" s="3" t="str">
        <f>"115"</f>
        <v>115</v>
      </c>
      <c r="B117" s="3" t="s">
        <v>117</v>
      </c>
      <c r="C117" s="3" t="str">
        <f>"新开铺街道"</f>
        <v>新开铺街道</v>
      </c>
      <c r="D117" s="3" t="str">
        <f>"豹子岭社区"</f>
        <v>豹子岭社区</v>
      </c>
      <c r="E117" s="3" t="str">
        <f t="shared" si="24"/>
        <v>140</v>
      </c>
      <c r="F117" s="3" t="str">
        <f t="shared" si="35"/>
        <v>100</v>
      </c>
      <c r="G117" s="3" t="str">
        <f t="shared" si="38"/>
        <v>二级</v>
      </c>
    </row>
    <row r="118" customHeight="1" spans="1:7">
      <c r="A118" s="3" t="str">
        <f>"116"</f>
        <v>116</v>
      </c>
      <c r="B118" s="3" t="s">
        <v>118</v>
      </c>
      <c r="C118" s="3" t="str">
        <f t="shared" si="39"/>
        <v>坡子街街道</v>
      </c>
      <c r="D118" s="3" t="str">
        <f>"登仁桥社区"</f>
        <v>登仁桥社区</v>
      </c>
      <c r="E118" s="3" t="str">
        <f t="shared" si="24"/>
        <v>140</v>
      </c>
      <c r="F118" s="3" t="str">
        <f t="shared" si="35"/>
        <v>100</v>
      </c>
      <c r="G118" s="3" t="str">
        <f t="shared" si="38"/>
        <v>二级</v>
      </c>
    </row>
    <row r="119" customHeight="1" spans="1:7">
      <c r="A119" s="3" t="str">
        <f>"117"</f>
        <v>117</v>
      </c>
      <c r="B119" s="3" t="s">
        <v>119</v>
      </c>
      <c r="C119" s="3" t="str">
        <f>"赤岭路街道"</f>
        <v>赤岭路街道</v>
      </c>
      <c r="D119" s="3" t="str">
        <f>"新丰社区"</f>
        <v>新丰社区</v>
      </c>
      <c r="E119" s="3" t="str">
        <f t="shared" si="24"/>
        <v>140</v>
      </c>
      <c r="F119" s="3" t="str">
        <f t="shared" si="35"/>
        <v>100</v>
      </c>
      <c r="G119" s="3" t="str">
        <f t="shared" si="38"/>
        <v>二级</v>
      </c>
    </row>
    <row r="120" customHeight="1" spans="1:7">
      <c r="A120" s="3" t="str">
        <f>"118"</f>
        <v>118</v>
      </c>
      <c r="B120" s="3" t="s">
        <v>120</v>
      </c>
      <c r="C120" s="3" t="str">
        <f>"城南路街道"</f>
        <v>城南路街道</v>
      </c>
      <c r="D120" s="3" t="str">
        <f>"吴家坪社区"</f>
        <v>吴家坪社区</v>
      </c>
      <c r="E120" s="3" t="str">
        <f t="shared" si="24"/>
        <v>140</v>
      </c>
      <c r="F120" s="3" t="str">
        <f t="shared" si="35"/>
        <v>100</v>
      </c>
      <c r="G120" s="3" t="str">
        <f t="shared" si="38"/>
        <v>二级</v>
      </c>
    </row>
    <row r="121" customHeight="1" spans="1:7">
      <c r="A121" s="3" t="str">
        <f>"119"</f>
        <v>119</v>
      </c>
      <c r="B121" s="3" t="s">
        <v>121</v>
      </c>
      <c r="C121" s="3" t="str">
        <f t="shared" ref="C121:C126" si="40">"金盆岭街道"</f>
        <v>金盆岭街道</v>
      </c>
      <c r="D121" s="3" t="str">
        <f>"狮子山社区"</f>
        <v>狮子山社区</v>
      </c>
      <c r="E121" s="3" t="str">
        <f t="shared" si="24"/>
        <v>140</v>
      </c>
      <c r="F121" s="3" t="str">
        <f t="shared" si="35"/>
        <v>100</v>
      </c>
      <c r="G121" s="3" t="str">
        <f t="shared" si="38"/>
        <v>二级</v>
      </c>
    </row>
    <row r="122" customHeight="1" spans="1:7">
      <c r="A122" s="3" t="str">
        <f>"120"</f>
        <v>120</v>
      </c>
      <c r="B122" s="3" t="s">
        <v>122</v>
      </c>
      <c r="C122" s="3" t="str">
        <f>"桂花坪街道"</f>
        <v>桂花坪街道</v>
      </c>
      <c r="D122" s="3" t="str">
        <f>"九峰苑社区"</f>
        <v>九峰苑社区</v>
      </c>
      <c r="E122" s="3" t="str">
        <f t="shared" si="24"/>
        <v>140</v>
      </c>
      <c r="F122" s="3" t="str">
        <f t="shared" si="35"/>
        <v>100</v>
      </c>
      <c r="G122" s="3" t="str">
        <f t="shared" si="38"/>
        <v>二级</v>
      </c>
    </row>
    <row r="123" customHeight="1" spans="1:7">
      <c r="A123" s="3" t="str">
        <f>"121"</f>
        <v>121</v>
      </c>
      <c r="B123" s="3" t="s">
        <v>123</v>
      </c>
      <c r="C123" s="3" t="str">
        <f t="shared" si="40"/>
        <v>金盆岭街道</v>
      </c>
      <c r="D123" s="3" t="str">
        <f>"涂新社区"</f>
        <v>涂新社区</v>
      </c>
      <c r="E123" s="3" t="str">
        <f t="shared" si="24"/>
        <v>140</v>
      </c>
      <c r="F123" s="3" t="str">
        <f t="shared" si="35"/>
        <v>100</v>
      </c>
      <c r="G123" s="3" t="str">
        <f t="shared" si="38"/>
        <v>二级</v>
      </c>
    </row>
    <row r="124" customHeight="1" spans="1:7">
      <c r="A124" s="3" t="str">
        <f>"122"</f>
        <v>122</v>
      </c>
      <c r="B124" s="3" t="s">
        <v>124</v>
      </c>
      <c r="C124" s="3" t="str">
        <f>"裕南街街道"</f>
        <v>裕南街街道</v>
      </c>
      <c r="D124" s="3" t="str">
        <f>"长坡社区"</f>
        <v>长坡社区</v>
      </c>
      <c r="E124" s="3" t="str">
        <f t="shared" si="24"/>
        <v>140</v>
      </c>
      <c r="F124" s="3" t="str">
        <f t="shared" si="35"/>
        <v>100</v>
      </c>
      <c r="G124" s="3" t="str">
        <f t="shared" si="38"/>
        <v>二级</v>
      </c>
    </row>
    <row r="125" customHeight="1" spans="1:7">
      <c r="A125" s="3" t="str">
        <f>"123"</f>
        <v>123</v>
      </c>
      <c r="B125" s="3" t="s">
        <v>125</v>
      </c>
      <c r="C125" s="3" t="str">
        <f t="shared" si="40"/>
        <v>金盆岭街道</v>
      </c>
      <c r="D125" s="3" t="str">
        <f>"黄土岭社区"</f>
        <v>黄土岭社区</v>
      </c>
      <c r="E125" s="3" t="str">
        <f t="shared" si="24"/>
        <v>140</v>
      </c>
      <c r="F125" s="3" t="str">
        <f t="shared" si="35"/>
        <v>100</v>
      </c>
      <c r="G125" s="3" t="str">
        <f t="shared" si="38"/>
        <v>二级</v>
      </c>
    </row>
    <row r="126" customHeight="1" spans="1:7">
      <c r="A126" s="3" t="str">
        <f>"124"</f>
        <v>124</v>
      </c>
      <c r="B126" s="3" t="s">
        <v>126</v>
      </c>
      <c r="C126" s="3" t="str">
        <f t="shared" si="40"/>
        <v>金盆岭街道</v>
      </c>
      <c r="D126" s="3" t="str">
        <f>"涂新社区"</f>
        <v>涂新社区</v>
      </c>
      <c r="E126" s="3" t="str">
        <f t="shared" si="24"/>
        <v>140</v>
      </c>
      <c r="F126" s="3" t="str">
        <f t="shared" si="35"/>
        <v>100</v>
      </c>
      <c r="G126" s="3" t="str">
        <f t="shared" si="38"/>
        <v>二级</v>
      </c>
    </row>
    <row r="127" customHeight="1" spans="1:7">
      <c r="A127" s="3" t="str">
        <f>"125"</f>
        <v>125</v>
      </c>
      <c r="B127" s="3" t="s">
        <v>127</v>
      </c>
      <c r="C127" s="3" t="str">
        <f t="shared" ref="C127:C133" si="41">"南托街道"</f>
        <v>南托街道</v>
      </c>
      <c r="D127" s="3" t="str">
        <f t="shared" ref="D127:D133" si="42">"牛角塘社区"</f>
        <v>牛角塘社区</v>
      </c>
      <c r="E127" s="3" t="str">
        <f t="shared" si="24"/>
        <v>140</v>
      </c>
      <c r="F127" s="3" t="str">
        <f t="shared" si="35"/>
        <v>100</v>
      </c>
      <c r="G127" s="3" t="str">
        <f t="shared" ref="G127:G131" si="43">"一级"</f>
        <v>一级</v>
      </c>
    </row>
    <row r="128" customHeight="1" spans="1:7">
      <c r="A128" s="3" t="str">
        <f>"126"</f>
        <v>126</v>
      </c>
      <c r="B128" s="3" t="s">
        <v>128</v>
      </c>
      <c r="C128" s="3" t="str">
        <f t="shared" si="41"/>
        <v>南托街道</v>
      </c>
      <c r="D128" s="3" t="str">
        <f t="shared" si="42"/>
        <v>牛角塘社区</v>
      </c>
      <c r="E128" s="3" t="str">
        <f t="shared" si="24"/>
        <v>140</v>
      </c>
      <c r="F128" s="3" t="str">
        <f t="shared" si="35"/>
        <v>100</v>
      </c>
      <c r="G128" s="3" t="str">
        <f t="shared" si="43"/>
        <v>一级</v>
      </c>
    </row>
    <row r="129" customHeight="1" spans="1:7">
      <c r="A129" s="3" t="str">
        <f>"127"</f>
        <v>127</v>
      </c>
      <c r="B129" s="3" t="s">
        <v>129</v>
      </c>
      <c r="C129" s="3" t="str">
        <f t="shared" si="41"/>
        <v>南托街道</v>
      </c>
      <c r="D129" s="3" t="str">
        <f t="shared" si="42"/>
        <v>牛角塘社区</v>
      </c>
      <c r="E129" s="3" t="str">
        <f t="shared" si="24"/>
        <v>140</v>
      </c>
      <c r="F129" s="3" t="str">
        <f t="shared" si="35"/>
        <v>100</v>
      </c>
      <c r="G129" s="3" t="str">
        <f t="shared" ref="G129:G150" si="44">"二级"</f>
        <v>二级</v>
      </c>
    </row>
    <row r="130" customHeight="1" spans="1:7">
      <c r="A130" s="3" t="str">
        <f>"128"</f>
        <v>128</v>
      </c>
      <c r="B130" s="3" t="s">
        <v>130</v>
      </c>
      <c r="C130" s="3" t="str">
        <f t="shared" si="41"/>
        <v>南托街道</v>
      </c>
      <c r="D130" s="3" t="str">
        <f t="shared" si="42"/>
        <v>牛角塘社区</v>
      </c>
      <c r="E130" s="3" t="str">
        <f t="shared" si="24"/>
        <v>140</v>
      </c>
      <c r="F130" s="3" t="str">
        <f t="shared" si="35"/>
        <v>100</v>
      </c>
      <c r="G130" s="3" t="str">
        <f t="shared" si="44"/>
        <v>二级</v>
      </c>
    </row>
    <row r="131" customHeight="1" spans="1:7">
      <c r="A131" s="3" t="str">
        <f>"129"</f>
        <v>129</v>
      </c>
      <c r="B131" s="3" t="s">
        <v>131</v>
      </c>
      <c r="C131" s="3" t="str">
        <f t="shared" si="41"/>
        <v>南托街道</v>
      </c>
      <c r="D131" s="3" t="str">
        <f t="shared" si="42"/>
        <v>牛角塘社区</v>
      </c>
      <c r="E131" s="3" t="str">
        <f t="shared" ref="E131:E194" si="45">"140"</f>
        <v>140</v>
      </c>
      <c r="F131" s="3" t="str">
        <f t="shared" si="35"/>
        <v>100</v>
      </c>
      <c r="G131" s="3" t="str">
        <f t="shared" si="43"/>
        <v>一级</v>
      </c>
    </row>
    <row r="132" customHeight="1" spans="1:7">
      <c r="A132" s="3" t="str">
        <f>"130"</f>
        <v>130</v>
      </c>
      <c r="B132" s="3" t="s">
        <v>132</v>
      </c>
      <c r="C132" s="3" t="str">
        <f t="shared" si="41"/>
        <v>南托街道</v>
      </c>
      <c r="D132" s="3" t="str">
        <f t="shared" si="42"/>
        <v>牛角塘社区</v>
      </c>
      <c r="E132" s="3" t="str">
        <f t="shared" si="45"/>
        <v>140</v>
      </c>
      <c r="F132" s="3" t="str">
        <f t="shared" si="35"/>
        <v>100</v>
      </c>
      <c r="G132" s="3" t="str">
        <f t="shared" si="44"/>
        <v>二级</v>
      </c>
    </row>
    <row r="133" customHeight="1" spans="1:7">
      <c r="A133" s="3" t="str">
        <f>"131"</f>
        <v>131</v>
      </c>
      <c r="B133" s="3" t="s">
        <v>133</v>
      </c>
      <c r="C133" s="3" t="str">
        <f t="shared" si="41"/>
        <v>南托街道</v>
      </c>
      <c r="D133" s="3" t="str">
        <f t="shared" si="42"/>
        <v>牛角塘社区</v>
      </c>
      <c r="E133" s="3" t="str">
        <f t="shared" si="45"/>
        <v>140</v>
      </c>
      <c r="F133" s="3" t="str">
        <f t="shared" si="35"/>
        <v>100</v>
      </c>
      <c r="G133" s="3" t="str">
        <f t="shared" si="44"/>
        <v>二级</v>
      </c>
    </row>
    <row r="134" customHeight="1" spans="1:7">
      <c r="A134" s="3" t="str">
        <f>"132"</f>
        <v>132</v>
      </c>
      <c r="B134" s="3" t="s">
        <v>68</v>
      </c>
      <c r="C134" s="3" t="str">
        <f>"赤岭路街道"</f>
        <v>赤岭路街道</v>
      </c>
      <c r="D134" s="3" t="str">
        <f>"南大桥社区"</f>
        <v>南大桥社区</v>
      </c>
      <c r="E134" s="3" t="str">
        <f t="shared" si="45"/>
        <v>140</v>
      </c>
      <c r="F134" s="3" t="str">
        <f t="shared" si="35"/>
        <v>100</v>
      </c>
      <c r="G134" s="3" t="str">
        <f t="shared" si="44"/>
        <v>二级</v>
      </c>
    </row>
    <row r="135" customHeight="1" spans="1:7">
      <c r="A135" s="3" t="str">
        <f>"133"</f>
        <v>133</v>
      </c>
      <c r="B135" s="3" t="s">
        <v>134</v>
      </c>
      <c r="C135" s="3" t="str">
        <f t="shared" ref="C135:C139" si="46">"新开铺街道"</f>
        <v>新开铺街道</v>
      </c>
      <c r="D135" s="3" t="str">
        <f>"新天社区"</f>
        <v>新天社区</v>
      </c>
      <c r="E135" s="3" t="str">
        <f t="shared" si="45"/>
        <v>140</v>
      </c>
      <c r="F135" s="3" t="str">
        <f t="shared" si="35"/>
        <v>100</v>
      </c>
      <c r="G135" s="3" t="str">
        <f t="shared" si="44"/>
        <v>二级</v>
      </c>
    </row>
    <row r="136" customHeight="1" spans="1:7">
      <c r="A136" s="3" t="str">
        <f>"134"</f>
        <v>134</v>
      </c>
      <c r="B136" s="3" t="s">
        <v>135</v>
      </c>
      <c r="C136" s="3" t="str">
        <f t="shared" si="46"/>
        <v>新开铺街道</v>
      </c>
      <c r="D136" s="3" t="str">
        <f>"新开铺社区"</f>
        <v>新开铺社区</v>
      </c>
      <c r="E136" s="3" t="str">
        <f t="shared" si="45"/>
        <v>140</v>
      </c>
      <c r="F136" s="3" t="str">
        <f t="shared" si="35"/>
        <v>100</v>
      </c>
      <c r="G136" s="3" t="str">
        <f t="shared" si="44"/>
        <v>二级</v>
      </c>
    </row>
    <row r="137" customHeight="1" spans="1:7">
      <c r="A137" s="3" t="str">
        <f>"135"</f>
        <v>135</v>
      </c>
      <c r="B137" s="3" t="s">
        <v>136</v>
      </c>
      <c r="C137" s="3" t="str">
        <f t="shared" ref="C137:C142" si="47">"裕南街街道"</f>
        <v>裕南街街道</v>
      </c>
      <c r="D137" s="3" t="str">
        <f>"火把山社区"</f>
        <v>火把山社区</v>
      </c>
      <c r="E137" s="3" t="str">
        <f t="shared" si="45"/>
        <v>140</v>
      </c>
      <c r="F137" s="3" t="str">
        <f t="shared" si="35"/>
        <v>100</v>
      </c>
      <c r="G137" s="3" t="str">
        <f t="shared" si="44"/>
        <v>二级</v>
      </c>
    </row>
    <row r="138" customHeight="1" spans="1:7">
      <c r="A138" s="3" t="str">
        <f>"136"</f>
        <v>136</v>
      </c>
      <c r="B138" s="3" t="s">
        <v>137</v>
      </c>
      <c r="C138" s="3" t="str">
        <f>"大托铺街道"</f>
        <v>大托铺街道</v>
      </c>
      <c r="D138" s="3" t="str">
        <f>"桂井村委会"</f>
        <v>桂井村委会</v>
      </c>
      <c r="E138" s="3" t="str">
        <f t="shared" si="45"/>
        <v>140</v>
      </c>
      <c r="F138" s="3" t="str">
        <f t="shared" si="35"/>
        <v>100</v>
      </c>
      <c r="G138" s="3" t="str">
        <f t="shared" si="44"/>
        <v>二级</v>
      </c>
    </row>
    <row r="139" customHeight="1" spans="1:7">
      <c r="A139" s="3" t="str">
        <f>"137"</f>
        <v>137</v>
      </c>
      <c r="B139" s="3" t="s">
        <v>138</v>
      </c>
      <c r="C139" s="3" t="str">
        <f t="shared" si="46"/>
        <v>新开铺街道</v>
      </c>
      <c r="D139" s="3" t="str">
        <f>"新天村委会"</f>
        <v>新天村委会</v>
      </c>
      <c r="E139" s="3" t="str">
        <f t="shared" si="45"/>
        <v>140</v>
      </c>
      <c r="F139" s="3" t="str">
        <f t="shared" si="35"/>
        <v>100</v>
      </c>
      <c r="G139" s="3" t="str">
        <f t="shared" si="44"/>
        <v>二级</v>
      </c>
    </row>
    <row r="140" customHeight="1" spans="1:7">
      <c r="A140" s="3" t="str">
        <f>"138"</f>
        <v>138</v>
      </c>
      <c r="B140" s="3" t="s">
        <v>139</v>
      </c>
      <c r="C140" s="3" t="str">
        <f t="shared" si="47"/>
        <v>裕南街街道</v>
      </c>
      <c r="D140" s="3" t="str">
        <f>"仰天湖社区"</f>
        <v>仰天湖社区</v>
      </c>
      <c r="E140" s="3" t="str">
        <f t="shared" si="45"/>
        <v>140</v>
      </c>
      <c r="F140" s="3" t="str">
        <f t="shared" si="35"/>
        <v>100</v>
      </c>
      <c r="G140" s="3" t="str">
        <f t="shared" si="44"/>
        <v>二级</v>
      </c>
    </row>
    <row r="141" customHeight="1" spans="1:7">
      <c r="A141" s="3" t="str">
        <f>"139"</f>
        <v>139</v>
      </c>
      <c r="B141" s="3" t="s">
        <v>140</v>
      </c>
      <c r="C141" s="3" t="str">
        <f t="shared" si="47"/>
        <v>裕南街街道</v>
      </c>
      <c r="D141" s="3" t="str">
        <f>"东瓜山社区"</f>
        <v>东瓜山社区</v>
      </c>
      <c r="E141" s="3" t="str">
        <f t="shared" si="45"/>
        <v>140</v>
      </c>
      <c r="F141" s="3" t="str">
        <f t="shared" si="35"/>
        <v>100</v>
      </c>
      <c r="G141" s="3" t="str">
        <f t="shared" si="44"/>
        <v>二级</v>
      </c>
    </row>
    <row r="142" customHeight="1" spans="1:7">
      <c r="A142" s="3" t="str">
        <f>"140"</f>
        <v>140</v>
      </c>
      <c r="B142" s="3" t="s">
        <v>141</v>
      </c>
      <c r="C142" s="3" t="str">
        <f t="shared" si="47"/>
        <v>裕南街街道</v>
      </c>
      <c r="D142" s="3" t="str">
        <f>"石子冲社区"</f>
        <v>石子冲社区</v>
      </c>
      <c r="E142" s="3" t="str">
        <f t="shared" si="45"/>
        <v>140</v>
      </c>
      <c r="F142" s="3" t="str">
        <f t="shared" si="35"/>
        <v>100</v>
      </c>
      <c r="G142" s="3" t="str">
        <f t="shared" si="44"/>
        <v>二级</v>
      </c>
    </row>
    <row r="143" customHeight="1" spans="1:7">
      <c r="A143" s="3" t="str">
        <f>"141"</f>
        <v>141</v>
      </c>
      <c r="B143" s="3" t="s">
        <v>142</v>
      </c>
      <c r="C143" s="3" t="str">
        <f>"赤岭路街道"</f>
        <v>赤岭路街道</v>
      </c>
      <c r="D143" s="3" t="str">
        <f>"南大桥社区"</f>
        <v>南大桥社区</v>
      </c>
      <c r="E143" s="3" t="str">
        <f t="shared" si="45"/>
        <v>140</v>
      </c>
      <c r="F143" s="3" t="str">
        <f t="shared" si="35"/>
        <v>100</v>
      </c>
      <c r="G143" s="3" t="str">
        <f t="shared" si="44"/>
        <v>二级</v>
      </c>
    </row>
    <row r="144" customHeight="1" spans="1:7">
      <c r="A144" s="3" t="str">
        <f>"142"</f>
        <v>142</v>
      </c>
      <c r="B144" s="3" t="s">
        <v>143</v>
      </c>
      <c r="C144" s="3" t="str">
        <f>"金盆岭街道"</f>
        <v>金盆岭街道</v>
      </c>
      <c r="D144" s="3" t="str">
        <f>"赤岭路社区"</f>
        <v>赤岭路社区</v>
      </c>
      <c r="E144" s="3" t="str">
        <f t="shared" si="45"/>
        <v>140</v>
      </c>
      <c r="F144" s="3" t="str">
        <f t="shared" si="35"/>
        <v>100</v>
      </c>
      <c r="G144" s="3" t="str">
        <f t="shared" si="44"/>
        <v>二级</v>
      </c>
    </row>
    <row r="145" customHeight="1" spans="1:7">
      <c r="A145" s="3" t="str">
        <f>"143"</f>
        <v>143</v>
      </c>
      <c r="B145" s="3" t="s">
        <v>144</v>
      </c>
      <c r="C145" s="3" t="str">
        <f>"大托铺街道"</f>
        <v>大托铺街道</v>
      </c>
      <c r="D145" s="3" t="str">
        <f>"新港村委会"</f>
        <v>新港村委会</v>
      </c>
      <c r="E145" s="3" t="str">
        <f t="shared" si="45"/>
        <v>140</v>
      </c>
      <c r="F145" s="3" t="str">
        <f t="shared" si="35"/>
        <v>100</v>
      </c>
      <c r="G145" s="3" t="str">
        <f t="shared" si="44"/>
        <v>二级</v>
      </c>
    </row>
    <row r="146" customHeight="1" spans="1:7">
      <c r="A146" s="3" t="str">
        <f>"144"</f>
        <v>144</v>
      </c>
      <c r="B146" s="3" t="s">
        <v>145</v>
      </c>
      <c r="C146" s="3" t="str">
        <f>"大托铺街道"</f>
        <v>大托铺街道</v>
      </c>
      <c r="D146" s="3" t="str">
        <f>"黄合村委会"</f>
        <v>黄合村委会</v>
      </c>
      <c r="E146" s="3" t="str">
        <f t="shared" si="45"/>
        <v>140</v>
      </c>
      <c r="F146" s="3" t="str">
        <f t="shared" si="35"/>
        <v>100</v>
      </c>
      <c r="G146" s="3" t="str">
        <f t="shared" si="44"/>
        <v>二级</v>
      </c>
    </row>
    <row r="147" customHeight="1" spans="1:7">
      <c r="A147" s="3" t="str">
        <f>"145"</f>
        <v>145</v>
      </c>
      <c r="B147" s="3" t="s">
        <v>146</v>
      </c>
      <c r="C147" s="3" t="str">
        <f>"金盆岭街道"</f>
        <v>金盆岭街道</v>
      </c>
      <c r="D147" s="3" t="str">
        <f>"涂新社区"</f>
        <v>涂新社区</v>
      </c>
      <c r="E147" s="3" t="str">
        <f t="shared" si="45"/>
        <v>140</v>
      </c>
      <c r="F147" s="3" t="str">
        <f t="shared" si="35"/>
        <v>100</v>
      </c>
      <c r="G147" s="3" t="str">
        <f t="shared" si="44"/>
        <v>二级</v>
      </c>
    </row>
    <row r="148" customHeight="1" spans="1:7">
      <c r="A148" s="3" t="str">
        <f>"146"</f>
        <v>146</v>
      </c>
      <c r="B148" s="3" t="s">
        <v>147</v>
      </c>
      <c r="C148" s="3" t="str">
        <f>"坡子街街道"</f>
        <v>坡子街街道</v>
      </c>
      <c r="D148" s="3" t="str">
        <f>"坡子街社区"</f>
        <v>坡子街社区</v>
      </c>
      <c r="E148" s="3" t="str">
        <f t="shared" si="45"/>
        <v>140</v>
      </c>
      <c r="F148" s="3" t="str">
        <f t="shared" si="35"/>
        <v>100</v>
      </c>
      <c r="G148" s="3" t="str">
        <f t="shared" si="44"/>
        <v>二级</v>
      </c>
    </row>
    <row r="149" customHeight="1" spans="1:7">
      <c r="A149" s="3" t="str">
        <f>"147"</f>
        <v>147</v>
      </c>
      <c r="B149" s="3" t="s">
        <v>148</v>
      </c>
      <c r="C149" s="3" t="str">
        <f>"城南路街道"</f>
        <v>城南路街道</v>
      </c>
      <c r="D149" s="3" t="str">
        <f>"古道巷社区"</f>
        <v>古道巷社区</v>
      </c>
      <c r="E149" s="3" t="str">
        <f t="shared" si="45"/>
        <v>140</v>
      </c>
      <c r="F149" s="3" t="str">
        <f t="shared" si="35"/>
        <v>100</v>
      </c>
      <c r="G149" s="3" t="str">
        <f t="shared" si="44"/>
        <v>二级</v>
      </c>
    </row>
    <row r="150" customHeight="1" spans="1:7">
      <c r="A150" s="3" t="str">
        <f>"148"</f>
        <v>148</v>
      </c>
      <c r="B150" s="3" t="s">
        <v>149</v>
      </c>
      <c r="C150" s="3" t="str">
        <f>"桂花坪街道"</f>
        <v>桂花坪街道</v>
      </c>
      <c r="D150" s="3" t="str">
        <f>"金桂社区"</f>
        <v>金桂社区</v>
      </c>
      <c r="E150" s="3" t="str">
        <f t="shared" si="45"/>
        <v>140</v>
      </c>
      <c r="F150" s="3" t="str">
        <f t="shared" si="35"/>
        <v>100</v>
      </c>
      <c r="G150" s="3" t="str">
        <f t="shared" si="44"/>
        <v>二级</v>
      </c>
    </row>
    <row r="151" customHeight="1" spans="1:7">
      <c r="A151" s="3" t="str">
        <f>"149"</f>
        <v>149</v>
      </c>
      <c r="B151" s="3" t="s">
        <v>139</v>
      </c>
      <c r="C151" s="3" t="str">
        <f>"赤岭路街道"</f>
        <v>赤岭路街道</v>
      </c>
      <c r="D151" s="3" t="str">
        <f>"南大桥社区"</f>
        <v>南大桥社区</v>
      </c>
      <c r="E151" s="3" t="str">
        <f t="shared" si="45"/>
        <v>140</v>
      </c>
      <c r="F151" s="3" t="str">
        <f t="shared" si="35"/>
        <v>100</v>
      </c>
      <c r="G151" s="3" t="str">
        <f t="shared" ref="G151:G159" si="48">"一级"</f>
        <v>一级</v>
      </c>
    </row>
    <row r="152" customHeight="1" spans="1:7">
      <c r="A152" s="3" t="str">
        <f>"150"</f>
        <v>150</v>
      </c>
      <c r="B152" s="3" t="s">
        <v>150</v>
      </c>
      <c r="C152" s="3" t="str">
        <f>"大托铺街道"</f>
        <v>大托铺街道</v>
      </c>
      <c r="D152" s="3" t="str">
        <f>"兴隆村委会"</f>
        <v>兴隆村委会</v>
      </c>
      <c r="E152" s="3" t="str">
        <f t="shared" si="45"/>
        <v>140</v>
      </c>
      <c r="F152" s="3" t="str">
        <f t="shared" si="35"/>
        <v>100</v>
      </c>
      <c r="G152" s="3" t="str">
        <f t="shared" si="48"/>
        <v>一级</v>
      </c>
    </row>
    <row r="153" customHeight="1" spans="1:7">
      <c r="A153" s="3" t="str">
        <f>"151"</f>
        <v>151</v>
      </c>
      <c r="B153" s="3" t="s">
        <v>151</v>
      </c>
      <c r="C153" s="3" t="str">
        <f>"大托铺街道"</f>
        <v>大托铺街道</v>
      </c>
      <c r="D153" s="3" t="str">
        <f>"兴隆村委会"</f>
        <v>兴隆村委会</v>
      </c>
      <c r="E153" s="3" t="str">
        <f t="shared" si="45"/>
        <v>140</v>
      </c>
      <c r="F153" s="3" t="str">
        <f t="shared" si="35"/>
        <v>100</v>
      </c>
      <c r="G153" s="3" t="str">
        <f>"二级"</f>
        <v>二级</v>
      </c>
    </row>
    <row r="154" customHeight="1" spans="1:7">
      <c r="A154" s="3" t="str">
        <f>"152"</f>
        <v>152</v>
      </c>
      <c r="B154" s="3" t="s">
        <v>152</v>
      </c>
      <c r="C154" s="3" t="str">
        <f>"裕南街街道"</f>
        <v>裕南街街道</v>
      </c>
      <c r="D154" s="3" t="str">
        <f>"仰天湖社区"</f>
        <v>仰天湖社区</v>
      </c>
      <c r="E154" s="3" t="str">
        <f t="shared" si="45"/>
        <v>140</v>
      </c>
      <c r="F154" s="3" t="str">
        <f t="shared" si="35"/>
        <v>100</v>
      </c>
      <c r="G154" s="3" t="str">
        <f>"二级"</f>
        <v>二级</v>
      </c>
    </row>
    <row r="155" customHeight="1" spans="1:7">
      <c r="A155" s="3" t="str">
        <f>"153"</f>
        <v>153</v>
      </c>
      <c r="B155" s="3" t="s">
        <v>153</v>
      </c>
      <c r="C155" s="3" t="str">
        <f t="shared" ref="C155:C159" si="49">"坡子街街道"</f>
        <v>坡子街街道</v>
      </c>
      <c r="D155" s="3" t="str">
        <f t="shared" ref="D155:D159" si="50">"文庙坪社区"</f>
        <v>文庙坪社区</v>
      </c>
      <c r="E155" s="3" t="str">
        <f t="shared" si="45"/>
        <v>140</v>
      </c>
      <c r="F155" s="3" t="str">
        <f t="shared" si="35"/>
        <v>100</v>
      </c>
      <c r="G155" s="3" t="str">
        <f t="shared" si="48"/>
        <v>一级</v>
      </c>
    </row>
    <row r="156" customHeight="1" spans="1:7">
      <c r="A156" s="3" t="str">
        <f>"154"</f>
        <v>154</v>
      </c>
      <c r="B156" s="3" t="s">
        <v>154</v>
      </c>
      <c r="C156" s="3" t="str">
        <f t="shared" si="49"/>
        <v>坡子街街道</v>
      </c>
      <c r="D156" s="3" t="str">
        <f t="shared" si="50"/>
        <v>文庙坪社区</v>
      </c>
      <c r="E156" s="3" t="str">
        <f t="shared" si="45"/>
        <v>140</v>
      </c>
      <c r="F156" s="3" t="str">
        <f t="shared" si="35"/>
        <v>100</v>
      </c>
      <c r="G156" s="3" t="str">
        <f t="shared" si="48"/>
        <v>一级</v>
      </c>
    </row>
    <row r="157" customHeight="1" spans="1:7">
      <c r="A157" s="3" t="str">
        <f>"155"</f>
        <v>155</v>
      </c>
      <c r="B157" s="3" t="s">
        <v>155</v>
      </c>
      <c r="C157" s="3" t="str">
        <f>"城南路街道"</f>
        <v>城南路街道</v>
      </c>
      <c r="D157" s="3" t="str">
        <f>"工农桥社区"</f>
        <v>工农桥社区</v>
      </c>
      <c r="E157" s="3" t="str">
        <f t="shared" si="45"/>
        <v>140</v>
      </c>
      <c r="F157" s="3" t="str">
        <f t="shared" si="35"/>
        <v>100</v>
      </c>
      <c r="G157" s="3" t="str">
        <f t="shared" si="48"/>
        <v>一级</v>
      </c>
    </row>
    <row r="158" customHeight="1" spans="1:7">
      <c r="A158" s="3" t="str">
        <f>"156"</f>
        <v>156</v>
      </c>
      <c r="B158" s="3" t="s">
        <v>156</v>
      </c>
      <c r="C158" s="3" t="str">
        <f>"城南路街道"</f>
        <v>城南路街道</v>
      </c>
      <c r="D158" s="3" t="str">
        <f>"天心阁社区"</f>
        <v>天心阁社区</v>
      </c>
      <c r="E158" s="3" t="str">
        <f t="shared" si="45"/>
        <v>140</v>
      </c>
      <c r="F158" s="3" t="str">
        <f t="shared" si="35"/>
        <v>100</v>
      </c>
      <c r="G158" s="3" t="str">
        <f t="shared" si="48"/>
        <v>一级</v>
      </c>
    </row>
    <row r="159" customHeight="1" spans="1:7">
      <c r="A159" s="3" t="str">
        <f>"157"</f>
        <v>157</v>
      </c>
      <c r="B159" s="3" t="s">
        <v>157</v>
      </c>
      <c r="C159" s="3" t="str">
        <f t="shared" si="49"/>
        <v>坡子街街道</v>
      </c>
      <c r="D159" s="3" t="str">
        <f t="shared" si="50"/>
        <v>文庙坪社区</v>
      </c>
      <c r="E159" s="3" t="str">
        <f t="shared" si="45"/>
        <v>140</v>
      </c>
      <c r="F159" s="3" t="str">
        <f t="shared" si="35"/>
        <v>100</v>
      </c>
      <c r="G159" s="3" t="str">
        <f t="shared" si="48"/>
        <v>一级</v>
      </c>
    </row>
    <row r="160" customHeight="1" spans="1:7">
      <c r="A160" s="3" t="str">
        <f>"158"</f>
        <v>158</v>
      </c>
      <c r="B160" s="3" t="s">
        <v>158</v>
      </c>
      <c r="C160" s="3" t="str">
        <f>"先锋街道"</f>
        <v>先锋街道</v>
      </c>
      <c r="D160" s="3" t="str">
        <f>"新路村委会"</f>
        <v>新路村委会</v>
      </c>
      <c r="E160" s="3" t="str">
        <f t="shared" si="45"/>
        <v>140</v>
      </c>
      <c r="F160" s="3" t="str">
        <f t="shared" si="35"/>
        <v>100</v>
      </c>
      <c r="G160" s="3" t="str">
        <f t="shared" ref="G160:G167" si="51">"二级"</f>
        <v>二级</v>
      </c>
    </row>
    <row r="161" customHeight="1" spans="1:7">
      <c r="A161" s="3" t="str">
        <f>"159"</f>
        <v>159</v>
      </c>
      <c r="B161" s="3" t="s">
        <v>159</v>
      </c>
      <c r="C161" s="3" t="str">
        <f>"金盆岭街道"</f>
        <v>金盆岭街道</v>
      </c>
      <c r="D161" s="3" t="str">
        <f>"夏家冲社区"</f>
        <v>夏家冲社区</v>
      </c>
      <c r="E161" s="3" t="str">
        <f t="shared" si="45"/>
        <v>140</v>
      </c>
      <c r="F161" s="3" t="str">
        <f t="shared" si="35"/>
        <v>100</v>
      </c>
      <c r="G161" s="3" t="str">
        <f t="shared" si="51"/>
        <v>二级</v>
      </c>
    </row>
    <row r="162" customHeight="1" spans="1:7">
      <c r="A162" s="3" t="str">
        <f>"160"</f>
        <v>160</v>
      </c>
      <c r="B162" s="3" t="s">
        <v>125</v>
      </c>
      <c r="C162" s="3" t="str">
        <f>"赤岭路街道"</f>
        <v>赤岭路街道</v>
      </c>
      <c r="D162" s="3" t="str">
        <f>"广厦新村社区"</f>
        <v>广厦新村社区</v>
      </c>
      <c r="E162" s="3" t="str">
        <f t="shared" si="45"/>
        <v>140</v>
      </c>
      <c r="F162" s="3" t="str">
        <f t="shared" si="35"/>
        <v>100</v>
      </c>
      <c r="G162" s="3" t="str">
        <f t="shared" si="51"/>
        <v>二级</v>
      </c>
    </row>
    <row r="163" customHeight="1" spans="1:7">
      <c r="A163" s="3" t="str">
        <f>"161"</f>
        <v>161</v>
      </c>
      <c r="B163" s="3" t="s">
        <v>160</v>
      </c>
      <c r="C163" s="3" t="str">
        <f>"坡子街街道"</f>
        <v>坡子街街道</v>
      </c>
      <c r="D163" s="3" t="str">
        <f>"西湖社区"</f>
        <v>西湖社区</v>
      </c>
      <c r="E163" s="3" t="str">
        <f t="shared" si="45"/>
        <v>140</v>
      </c>
      <c r="F163" s="3" t="str">
        <f t="shared" si="35"/>
        <v>100</v>
      </c>
      <c r="G163" s="3" t="str">
        <f t="shared" si="51"/>
        <v>二级</v>
      </c>
    </row>
    <row r="164" customHeight="1" spans="1:7">
      <c r="A164" s="3" t="str">
        <f>"162"</f>
        <v>162</v>
      </c>
      <c r="B164" s="3" t="s">
        <v>161</v>
      </c>
      <c r="C164" s="3" t="str">
        <f t="shared" ref="C164:C169" si="52">"裕南街街道"</f>
        <v>裕南街街道</v>
      </c>
      <c r="D164" s="3" t="str">
        <f>"石子冲社区"</f>
        <v>石子冲社区</v>
      </c>
      <c r="E164" s="3" t="str">
        <f t="shared" si="45"/>
        <v>140</v>
      </c>
      <c r="F164" s="3" t="str">
        <f t="shared" si="35"/>
        <v>100</v>
      </c>
      <c r="G164" s="3" t="str">
        <f t="shared" si="51"/>
        <v>二级</v>
      </c>
    </row>
    <row r="165" customHeight="1" spans="1:7">
      <c r="A165" s="3" t="str">
        <f>"163"</f>
        <v>163</v>
      </c>
      <c r="B165" s="3" t="s">
        <v>162</v>
      </c>
      <c r="C165" s="3" t="str">
        <f t="shared" si="52"/>
        <v>裕南街街道</v>
      </c>
      <c r="D165" s="3" t="str">
        <f>"碧沙湖社区"</f>
        <v>碧沙湖社区</v>
      </c>
      <c r="E165" s="3" t="str">
        <f t="shared" si="45"/>
        <v>140</v>
      </c>
      <c r="F165" s="3" t="str">
        <f t="shared" si="35"/>
        <v>100</v>
      </c>
      <c r="G165" s="3" t="str">
        <f t="shared" si="51"/>
        <v>二级</v>
      </c>
    </row>
    <row r="166" customHeight="1" spans="1:7">
      <c r="A166" s="3" t="str">
        <f>"164"</f>
        <v>164</v>
      </c>
      <c r="B166" s="3" t="s">
        <v>163</v>
      </c>
      <c r="C166" s="3" t="str">
        <f>"文源街道"</f>
        <v>文源街道</v>
      </c>
      <c r="D166" s="3" t="str">
        <f>"梅岭社区"</f>
        <v>梅岭社区</v>
      </c>
      <c r="E166" s="3" t="str">
        <f t="shared" si="45"/>
        <v>140</v>
      </c>
      <c r="F166" s="3" t="str">
        <f t="shared" si="35"/>
        <v>100</v>
      </c>
      <c r="G166" s="3" t="str">
        <f t="shared" si="51"/>
        <v>二级</v>
      </c>
    </row>
    <row r="167" customHeight="1" spans="1:7">
      <c r="A167" s="3" t="str">
        <f>"165"</f>
        <v>165</v>
      </c>
      <c r="B167" s="3" t="s">
        <v>164</v>
      </c>
      <c r="C167" s="3" t="str">
        <f>"先锋街道"</f>
        <v>先锋街道</v>
      </c>
      <c r="D167" s="3" t="str">
        <f>"嘉和社区"</f>
        <v>嘉和社区</v>
      </c>
      <c r="E167" s="3" t="str">
        <f t="shared" si="45"/>
        <v>140</v>
      </c>
      <c r="F167" s="3" t="str">
        <f t="shared" si="35"/>
        <v>100</v>
      </c>
      <c r="G167" s="3" t="str">
        <f t="shared" si="51"/>
        <v>二级</v>
      </c>
    </row>
    <row r="168" customHeight="1" spans="1:7">
      <c r="A168" s="3" t="str">
        <f>"166"</f>
        <v>166</v>
      </c>
      <c r="B168" s="3" t="s">
        <v>165</v>
      </c>
      <c r="C168" s="3" t="str">
        <f>"赤岭路街道"</f>
        <v>赤岭路街道</v>
      </c>
      <c r="D168" s="3" t="str">
        <f>"白沙花园社区"</f>
        <v>白沙花园社区</v>
      </c>
      <c r="E168" s="3" t="str">
        <f t="shared" si="45"/>
        <v>140</v>
      </c>
      <c r="F168" s="3" t="str">
        <f t="shared" si="35"/>
        <v>100</v>
      </c>
      <c r="G168" s="3" t="str">
        <f t="shared" ref="G168:G173" si="53">"一级"</f>
        <v>一级</v>
      </c>
    </row>
    <row r="169" customHeight="1" spans="1:7">
      <c r="A169" s="3" t="str">
        <f>"167"</f>
        <v>167</v>
      </c>
      <c r="B169" s="3" t="s">
        <v>166</v>
      </c>
      <c r="C169" s="3" t="str">
        <f t="shared" si="52"/>
        <v>裕南街街道</v>
      </c>
      <c r="D169" s="3" t="str">
        <f>"石子冲社区"</f>
        <v>石子冲社区</v>
      </c>
      <c r="E169" s="3" t="str">
        <f t="shared" si="45"/>
        <v>140</v>
      </c>
      <c r="F169" s="3" t="str">
        <f t="shared" si="35"/>
        <v>100</v>
      </c>
      <c r="G169" s="3" t="str">
        <f>"二级"</f>
        <v>二级</v>
      </c>
    </row>
    <row r="170" customHeight="1" spans="1:7">
      <c r="A170" s="3" t="str">
        <f>"168"</f>
        <v>168</v>
      </c>
      <c r="B170" s="3" t="s">
        <v>167</v>
      </c>
      <c r="C170" s="3" t="str">
        <f>"桂花坪街道"</f>
        <v>桂花坪街道</v>
      </c>
      <c r="D170" s="3" t="str">
        <f>"金桂社区"</f>
        <v>金桂社区</v>
      </c>
      <c r="E170" s="3" t="str">
        <f t="shared" si="45"/>
        <v>140</v>
      </c>
      <c r="F170" s="3" t="str">
        <f t="shared" si="35"/>
        <v>100</v>
      </c>
      <c r="G170" s="3" t="str">
        <f t="shared" si="53"/>
        <v>一级</v>
      </c>
    </row>
    <row r="171" customHeight="1" spans="1:7">
      <c r="A171" s="3" t="str">
        <f>"169"</f>
        <v>169</v>
      </c>
      <c r="B171" s="3" t="s">
        <v>70</v>
      </c>
      <c r="C171" s="3" t="str">
        <f>"坡子街街道"</f>
        <v>坡子街街道</v>
      </c>
      <c r="D171" s="3" t="str">
        <f>"创远社区"</f>
        <v>创远社区</v>
      </c>
      <c r="E171" s="3" t="str">
        <f t="shared" si="45"/>
        <v>140</v>
      </c>
      <c r="F171" s="3" t="str">
        <f t="shared" si="35"/>
        <v>100</v>
      </c>
      <c r="G171" s="3" t="str">
        <f t="shared" si="53"/>
        <v>一级</v>
      </c>
    </row>
    <row r="172" customHeight="1" spans="1:7">
      <c r="A172" s="3" t="str">
        <f>"170"</f>
        <v>170</v>
      </c>
      <c r="B172" s="3" t="s">
        <v>168</v>
      </c>
      <c r="C172" s="3" t="str">
        <f>"赤岭路街道"</f>
        <v>赤岭路街道</v>
      </c>
      <c r="D172" s="3" t="str">
        <f>"南大桥社区"</f>
        <v>南大桥社区</v>
      </c>
      <c r="E172" s="3" t="str">
        <f t="shared" si="45"/>
        <v>140</v>
      </c>
      <c r="F172" s="3" t="str">
        <f t="shared" si="35"/>
        <v>100</v>
      </c>
      <c r="G172" s="3" t="str">
        <f t="shared" si="53"/>
        <v>一级</v>
      </c>
    </row>
    <row r="173" customHeight="1" spans="1:7">
      <c r="A173" s="3" t="str">
        <f>"171"</f>
        <v>171</v>
      </c>
      <c r="B173" s="3" t="s">
        <v>169</v>
      </c>
      <c r="C173" s="3" t="str">
        <f>"青园街道"</f>
        <v>青园街道</v>
      </c>
      <c r="D173" s="3" t="str">
        <f>"友谊社区"</f>
        <v>友谊社区</v>
      </c>
      <c r="E173" s="3" t="str">
        <f t="shared" si="45"/>
        <v>140</v>
      </c>
      <c r="F173" s="3" t="str">
        <f t="shared" ref="F173:F236" si="54">"100"</f>
        <v>100</v>
      </c>
      <c r="G173" s="3" t="str">
        <f t="shared" si="53"/>
        <v>一级</v>
      </c>
    </row>
    <row r="174" customHeight="1" spans="1:7">
      <c r="A174" s="3" t="str">
        <f>"172"</f>
        <v>172</v>
      </c>
      <c r="B174" s="3" t="s">
        <v>170</v>
      </c>
      <c r="C174" s="3" t="str">
        <f>"赤岭路街道"</f>
        <v>赤岭路街道</v>
      </c>
      <c r="D174" s="3" t="str">
        <f>"白沙花园社区"</f>
        <v>白沙花园社区</v>
      </c>
      <c r="E174" s="3" t="str">
        <f t="shared" si="45"/>
        <v>140</v>
      </c>
      <c r="F174" s="3" t="str">
        <f t="shared" si="54"/>
        <v>100</v>
      </c>
      <c r="G174" s="3" t="str">
        <f t="shared" ref="G174:G182" si="55">"二级"</f>
        <v>二级</v>
      </c>
    </row>
    <row r="175" customHeight="1" spans="1:7">
      <c r="A175" s="3" t="str">
        <f>"173"</f>
        <v>173</v>
      </c>
      <c r="B175" s="3" t="s">
        <v>171</v>
      </c>
      <c r="C175" s="3" t="str">
        <f>"坡子街街道"</f>
        <v>坡子街街道</v>
      </c>
      <c r="D175" s="3" t="str">
        <f>"青山祠社区"</f>
        <v>青山祠社区</v>
      </c>
      <c r="E175" s="3" t="str">
        <f t="shared" si="45"/>
        <v>140</v>
      </c>
      <c r="F175" s="3" t="str">
        <f t="shared" si="54"/>
        <v>100</v>
      </c>
      <c r="G175" s="3" t="str">
        <f>"一级"</f>
        <v>一级</v>
      </c>
    </row>
    <row r="176" customHeight="1" spans="1:7">
      <c r="A176" s="3" t="str">
        <f>"174"</f>
        <v>174</v>
      </c>
      <c r="B176" s="3" t="s">
        <v>68</v>
      </c>
      <c r="C176" s="3" t="str">
        <f t="shared" ref="C176:C179" si="56">"裕南街街道"</f>
        <v>裕南街街道</v>
      </c>
      <c r="D176" s="3" t="str">
        <f>"南站社区"</f>
        <v>南站社区</v>
      </c>
      <c r="E176" s="3" t="str">
        <f t="shared" si="45"/>
        <v>140</v>
      </c>
      <c r="F176" s="3" t="str">
        <f t="shared" si="54"/>
        <v>100</v>
      </c>
      <c r="G176" s="3" t="str">
        <f t="shared" si="55"/>
        <v>二级</v>
      </c>
    </row>
    <row r="177" customHeight="1" spans="1:7">
      <c r="A177" s="3" t="str">
        <f>"175"</f>
        <v>175</v>
      </c>
      <c r="B177" s="3" t="s">
        <v>172</v>
      </c>
      <c r="C177" s="3" t="str">
        <f t="shared" ref="C177:C181" si="57">"大托铺街道"</f>
        <v>大托铺街道</v>
      </c>
      <c r="D177" s="3" t="str">
        <f>"新港村委会"</f>
        <v>新港村委会</v>
      </c>
      <c r="E177" s="3" t="str">
        <f t="shared" si="45"/>
        <v>140</v>
      </c>
      <c r="F177" s="3" t="str">
        <f t="shared" si="54"/>
        <v>100</v>
      </c>
      <c r="G177" s="3" t="str">
        <f>"一级"</f>
        <v>一级</v>
      </c>
    </row>
    <row r="178" customHeight="1" spans="1:7">
      <c r="A178" s="3" t="str">
        <f>"176"</f>
        <v>176</v>
      </c>
      <c r="B178" s="3" t="s">
        <v>173</v>
      </c>
      <c r="C178" s="3" t="str">
        <f t="shared" si="56"/>
        <v>裕南街街道</v>
      </c>
      <c r="D178" s="3" t="str">
        <f>"仰天湖社区"</f>
        <v>仰天湖社区</v>
      </c>
      <c r="E178" s="3" t="str">
        <f t="shared" si="45"/>
        <v>140</v>
      </c>
      <c r="F178" s="3" t="str">
        <f t="shared" si="54"/>
        <v>100</v>
      </c>
      <c r="G178" s="3" t="str">
        <f t="shared" si="55"/>
        <v>二级</v>
      </c>
    </row>
    <row r="179" customHeight="1" spans="1:7">
      <c r="A179" s="3" t="str">
        <f>"177"</f>
        <v>177</v>
      </c>
      <c r="B179" s="3" t="s">
        <v>80</v>
      </c>
      <c r="C179" s="3" t="str">
        <f t="shared" si="56"/>
        <v>裕南街街道</v>
      </c>
      <c r="D179" s="3" t="str">
        <f>"仰天湖社区"</f>
        <v>仰天湖社区</v>
      </c>
      <c r="E179" s="3" t="str">
        <f t="shared" si="45"/>
        <v>140</v>
      </c>
      <c r="F179" s="3" t="str">
        <f t="shared" si="54"/>
        <v>100</v>
      </c>
      <c r="G179" s="3" t="str">
        <f t="shared" si="55"/>
        <v>二级</v>
      </c>
    </row>
    <row r="180" customHeight="1" spans="1:7">
      <c r="A180" s="3" t="str">
        <f>"178"</f>
        <v>178</v>
      </c>
      <c r="B180" s="3" t="s">
        <v>129</v>
      </c>
      <c r="C180" s="3" t="str">
        <f t="shared" si="57"/>
        <v>大托铺街道</v>
      </c>
      <c r="D180" s="3" t="str">
        <f>"黄合村委会"</f>
        <v>黄合村委会</v>
      </c>
      <c r="E180" s="3" t="str">
        <f t="shared" si="45"/>
        <v>140</v>
      </c>
      <c r="F180" s="3" t="str">
        <f t="shared" si="54"/>
        <v>100</v>
      </c>
      <c r="G180" s="3" t="str">
        <f t="shared" si="55"/>
        <v>二级</v>
      </c>
    </row>
    <row r="181" customHeight="1" spans="1:7">
      <c r="A181" s="3" t="str">
        <f>"179"</f>
        <v>179</v>
      </c>
      <c r="B181" s="3" t="s">
        <v>63</v>
      </c>
      <c r="C181" s="3" t="str">
        <f t="shared" si="57"/>
        <v>大托铺街道</v>
      </c>
      <c r="D181" s="3" t="str">
        <f>"兴隆村委会"</f>
        <v>兴隆村委会</v>
      </c>
      <c r="E181" s="3" t="str">
        <f t="shared" si="45"/>
        <v>140</v>
      </c>
      <c r="F181" s="3" t="str">
        <f t="shared" si="54"/>
        <v>100</v>
      </c>
      <c r="G181" s="3" t="str">
        <f t="shared" si="55"/>
        <v>二级</v>
      </c>
    </row>
    <row r="182" customHeight="1" spans="1:7">
      <c r="A182" s="3" t="str">
        <f>"180"</f>
        <v>180</v>
      </c>
      <c r="B182" s="3" t="s">
        <v>174</v>
      </c>
      <c r="C182" s="3" t="str">
        <f>"新开铺街道"</f>
        <v>新开铺街道</v>
      </c>
      <c r="D182" s="3" t="str">
        <f>"新开铺社区"</f>
        <v>新开铺社区</v>
      </c>
      <c r="E182" s="3" t="str">
        <f t="shared" si="45"/>
        <v>140</v>
      </c>
      <c r="F182" s="3" t="str">
        <f t="shared" si="54"/>
        <v>100</v>
      </c>
      <c r="G182" s="3" t="str">
        <f t="shared" si="55"/>
        <v>二级</v>
      </c>
    </row>
    <row r="183" customHeight="1" spans="1:7">
      <c r="A183" s="3" t="str">
        <f>"181"</f>
        <v>181</v>
      </c>
      <c r="B183" s="3" t="s">
        <v>175</v>
      </c>
      <c r="C183" s="3" t="str">
        <f>"大托铺街道"</f>
        <v>大托铺街道</v>
      </c>
      <c r="D183" s="3" t="str">
        <f>"黄合村委会"</f>
        <v>黄合村委会</v>
      </c>
      <c r="E183" s="3" t="str">
        <f t="shared" si="45"/>
        <v>140</v>
      </c>
      <c r="F183" s="3" t="str">
        <f t="shared" si="54"/>
        <v>100</v>
      </c>
      <c r="G183" s="3" t="str">
        <f>"一级"</f>
        <v>一级</v>
      </c>
    </row>
    <row r="184" customHeight="1" spans="1:7">
      <c r="A184" s="3" t="str">
        <f>"182"</f>
        <v>182</v>
      </c>
      <c r="B184" s="3" t="s">
        <v>176</v>
      </c>
      <c r="C184" s="3" t="str">
        <f>"大托铺街道"</f>
        <v>大托铺街道</v>
      </c>
      <c r="D184" s="3" t="str">
        <f>"大托村委会"</f>
        <v>大托村委会</v>
      </c>
      <c r="E184" s="3" t="str">
        <f t="shared" si="45"/>
        <v>140</v>
      </c>
      <c r="F184" s="3" t="str">
        <f t="shared" si="54"/>
        <v>100</v>
      </c>
      <c r="G184" s="3" t="str">
        <f t="shared" ref="G184:G186" si="58">"二级"</f>
        <v>二级</v>
      </c>
    </row>
    <row r="185" customHeight="1" spans="1:7">
      <c r="A185" s="3" t="str">
        <f>"183"</f>
        <v>183</v>
      </c>
      <c r="B185" s="3" t="s">
        <v>177</v>
      </c>
      <c r="C185" s="3" t="str">
        <f t="shared" ref="C185:C190" si="59">"新开铺街道"</f>
        <v>新开铺街道</v>
      </c>
      <c r="D185" s="3" t="str">
        <f>"豹子岭社区"</f>
        <v>豹子岭社区</v>
      </c>
      <c r="E185" s="3" t="str">
        <f t="shared" si="45"/>
        <v>140</v>
      </c>
      <c r="F185" s="3" t="str">
        <f t="shared" si="54"/>
        <v>100</v>
      </c>
      <c r="G185" s="3" t="str">
        <f t="shared" si="58"/>
        <v>二级</v>
      </c>
    </row>
    <row r="186" customHeight="1" spans="1:7">
      <c r="A186" s="3" t="str">
        <f>"184"</f>
        <v>184</v>
      </c>
      <c r="B186" s="3" t="s">
        <v>139</v>
      </c>
      <c r="C186" s="3" t="str">
        <f>"城南路街道"</f>
        <v>城南路街道</v>
      </c>
      <c r="D186" s="3" t="str">
        <f>"燕子岭社区"</f>
        <v>燕子岭社区</v>
      </c>
      <c r="E186" s="3" t="str">
        <f t="shared" si="45"/>
        <v>140</v>
      </c>
      <c r="F186" s="3" t="str">
        <f t="shared" si="54"/>
        <v>100</v>
      </c>
      <c r="G186" s="3" t="str">
        <f t="shared" si="58"/>
        <v>二级</v>
      </c>
    </row>
    <row r="187" customHeight="1" spans="1:7">
      <c r="A187" s="3" t="str">
        <f>"185"</f>
        <v>185</v>
      </c>
      <c r="B187" s="3" t="s">
        <v>178</v>
      </c>
      <c r="C187" s="3" t="str">
        <f>"裕南街街道"</f>
        <v>裕南街街道</v>
      </c>
      <c r="D187" s="3" t="str">
        <f>"宝塔山社区"</f>
        <v>宝塔山社区</v>
      </c>
      <c r="E187" s="3" t="str">
        <f t="shared" si="45"/>
        <v>140</v>
      </c>
      <c r="F187" s="3" t="str">
        <f t="shared" si="54"/>
        <v>100</v>
      </c>
      <c r="G187" s="3" t="str">
        <f t="shared" ref="G187:G191" si="60">"一级"</f>
        <v>一级</v>
      </c>
    </row>
    <row r="188" customHeight="1" spans="1:7">
      <c r="A188" s="3" t="str">
        <f>"186"</f>
        <v>186</v>
      </c>
      <c r="B188" s="3" t="s">
        <v>179</v>
      </c>
      <c r="C188" s="3" t="str">
        <f>"裕南街街道"</f>
        <v>裕南街街道</v>
      </c>
      <c r="D188" s="3" t="str">
        <f>"南站社区"</f>
        <v>南站社区</v>
      </c>
      <c r="E188" s="3" t="str">
        <f t="shared" si="45"/>
        <v>140</v>
      </c>
      <c r="F188" s="3" t="str">
        <f t="shared" si="54"/>
        <v>100</v>
      </c>
      <c r="G188" s="3" t="str">
        <f t="shared" ref="G188:G194" si="61">"二级"</f>
        <v>二级</v>
      </c>
    </row>
    <row r="189" customHeight="1" spans="1:7">
      <c r="A189" s="3" t="str">
        <f>"187"</f>
        <v>187</v>
      </c>
      <c r="B189" s="3" t="s">
        <v>70</v>
      </c>
      <c r="C189" s="3" t="str">
        <f t="shared" si="59"/>
        <v>新开铺街道</v>
      </c>
      <c r="D189" s="3" t="str">
        <f>"新开铺社区"</f>
        <v>新开铺社区</v>
      </c>
      <c r="E189" s="3" t="str">
        <f t="shared" si="45"/>
        <v>140</v>
      </c>
      <c r="F189" s="3" t="str">
        <f t="shared" si="54"/>
        <v>100</v>
      </c>
      <c r="G189" s="3" t="str">
        <f t="shared" si="60"/>
        <v>一级</v>
      </c>
    </row>
    <row r="190" customHeight="1" spans="1:7">
      <c r="A190" s="3" t="str">
        <f>"188"</f>
        <v>188</v>
      </c>
      <c r="B190" s="3" t="s">
        <v>180</v>
      </c>
      <c r="C190" s="3" t="str">
        <f t="shared" si="59"/>
        <v>新开铺街道</v>
      </c>
      <c r="D190" s="3" t="str">
        <f>"豹子岭社区"</f>
        <v>豹子岭社区</v>
      </c>
      <c r="E190" s="3" t="str">
        <f t="shared" si="45"/>
        <v>140</v>
      </c>
      <c r="F190" s="3" t="str">
        <f t="shared" si="54"/>
        <v>100</v>
      </c>
      <c r="G190" s="3" t="str">
        <f t="shared" si="61"/>
        <v>二级</v>
      </c>
    </row>
    <row r="191" customHeight="1" spans="1:7">
      <c r="A191" s="3" t="str">
        <f>"189"</f>
        <v>189</v>
      </c>
      <c r="B191" s="3" t="s">
        <v>181</v>
      </c>
      <c r="C191" s="3" t="str">
        <f>"先锋街道"</f>
        <v>先锋街道</v>
      </c>
      <c r="D191" s="3" t="str">
        <f>"尚双塘社区"</f>
        <v>尚双塘社区</v>
      </c>
      <c r="E191" s="3" t="str">
        <f t="shared" si="45"/>
        <v>140</v>
      </c>
      <c r="F191" s="3" t="str">
        <f t="shared" si="54"/>
        <v>100</v>
      </c>
      <c r="G191" s="3" t="str">
        <f t="shared" si="60"/>
        <v>一级</v>
      </c>
    </row>
    <row r="192" customHeight="1" spans="1:7">
      <c r="A192" s="3" t="str">
        <f>"190"</f>
        <v>190</v>
      </c>
      <c r="B192" s="3" t="s">
        <v>182</v>
      </c>
      <c r="C192" s="3" t="str">
        <f>"文源街道"</f>
        <v>文源街道</v>
      </c>
      <c r="D192" s="3" t="str">
        <f>"文源社区"</f>
        <v>文源社区</v>
      </c>
      <c r="E192" s="3" t="str">
        <f t="shared" si="45"/>
        <v>140</v>
      </c>
      <c r="F192" s="3" t="str">
        <f t="shared" si="54"/>
        <v>100</v>
      </c>
      <c r="G192" s="3" t="str">
        <f t="shared" si="61"/>
        <v>二级</v>
      </c>
    </row>
    <row r="193" customHeight="1" spans="1:7">
      <c r="A193" s="3" t="str">
        <f>"191"</f>
        <v>191</v>
      </c>
      <c r="B193" s="3" t="s">
        <v>55</v>
      </c>
      <c r="C193" s="3" t="str">
        <f>"黑石铺街道"</f>
        <v>黑石铺街道</v>
      </c>
      <c r="D193" s="3" t="str">
        <f>"一力社区"</f>
        <v>一力社区</v>
      </c>
      <c r="E193" s="3" t="str">
        <f t="shared" si="45"/>
        <v>140</v>
      </c>
      <c r="F193" s="3" t="str">
        <f t="shared" si="54"/>
        <v>100</v>
      </c>
      <c r="G193" s="3" t="str">
        <f t="shared" si="61"/>
        <v>二级</v>
      </c>
    </row>
    <row r="194" customHeight="1" spans="1:7">
      <c r="A194" s="3" t="str">
        <f>"192"</f>
        <v>192</v>
      </c>
      <c r="B194" s="3" t="s">
        <v>76</v>
      </c>
      <c r="C194" s="3" t="str">
        <f>"新开铺街道"</f>
        <v>新开铺街道</v>
      </c>
      <c r="D194" s="3" t="str">
        <f>"豹子岭社区"</f>
        <v>豹子岭社区</v>
      </c>
      <c r="E194" s="3" t="str">
        <f t="shared" si="45"/>
        <v>140</v>
      </c>
      <c r="F194" s="3" t="str">
        <f t="shared" si="54"/>
        <v>100</v>
      </c>
      <c r="G194" s="3" t="str">
        <f t="shared" si="61"/>
        <v>二级</v>
      </c>
    </row>
    <row r="195" customHeight="1" spans="1:7">
      <c r="A195" s="3" t="str">
        <f>"193"</f>
        <v>193</v>
      </c>
      <c r="B195" s="3" t="s">
        <v>183</v>
      </c>
      <c r="C195" s="3" t="str">
        <f>"裕南街街道"</f>
        <v>裕南街街道</v>
      </c>
      <c r="D195" s="3" t="str">
        <f>"碧沙湖社区"</f>
        <v>碧沙湖社区</v>
      </c>
      <c r="E195" s="3" t="str">
        <f t="shared" ref="E195:E258" si="62">"140"</f>
        <v>140</v>
      </c>
      <c r="F195" s="3" t="str">
        <f t="shared" si="54"/>
        <v>100</v>
      </c>
      <c r="G195" s="3" t="str">
        <f>"一级"</f>
        <v>一级</v>
      </c>
    </row>
    <row r="196" customHeight="1" spans="1:7">
      <c r="A196" s="3" t="str">
        <f>"194"</f>
        <v>194</v>
      </c>
      <c r="B196" s="3" t="s">
        <v>184</v>
      </c>
      <c r="C196" s="3" t="str">
        <f>"青园街道"</f>
        <v>青园街道</v>
      </c>
      <c r="D196" s="3" t="str">
        <f>"青园社区"</f>
        <v>青园社区</v>
      </c>
      <c r="E196" s="3" t="str">
        <f t="shared" si="62"/>
        <v>140</v>
      </c>
      <c r="F196" s="3" t="str">
        <f t="shared" si="54"/>
        <v>100</v>
      </c>
      <c r="G196" s="3" t="str">
        <f t="shared" ref="G196:G200" si="63">"二级"</f>
        <v>二级</v>
      </c>
    </row>
    <row r="197" customHeight="1" spans="1:7">
      <c r="A197" s="3" t="str">
        <f>"195"</f>
        <v>195</v>
      </c>
      <c r="B197" s="3" t="s">
        <v>80</v>
      </c>
      <c r="C197" s="3" t="str">
        <f>"坡子街街道"</f>
        <v>坡子街街道</v>
      </c>
      <c r="D197" s="3" t="str">
        <f>"青山祠社区"</f>
        <v>青山祠社区</v>
      </c>
      <c r="E197" s="3" t="str">
        <f t="shared" si="62"/>
        <v>140</v>
      </c>
      <c r="F197" s="3" t="str">
        <f t="shared" si="54"/>
        <v>100</v>
      </c>
      <c r="G197" s="3" t="str">
        <f t="shared" si="63"/>
        <v>二级</v>
      </c>
    </row>
    <row r="198" customHeight="1" spans="1:7">
      <c r="A198" s="3" t="str">
        <f>"196"</f>
        <v>196</v>
      </c>
      <c r="B198" s="3" t="s">
        <v>185</v>
      </c>
      <c r="C198" s="3" t="str">
        <f>"暮云街道"</f>
        <v>暮云街道</v>
      </c>
      <c r="D198" s="3" t="str">
        <f>"高云社区"</f>
        <v>高云社区</v>
      </c>
      <c r="E198" s="3" t="str">
        <f t="shared" si="62"/>
        <v>140</v>
      </c>
      <c r="F198" s="3" t="str">
        <f t="shared" si="54"/>
        <v>100</v>
      </c>
      <c r="G198" s="3" t="str">
        <f t="shared" si="63"/>
        <v>二级</v>
      </c>
    </row>
    <row r="199" customHeight="1" spans="1:7">
      <c r="A199" s="3" t="str">
        <f>"197"</f>
        <v>197</v>
      </c>
      <c r="B199" s="3" t="s">
        <v>186</v>
      </c>
      <c r="C199" s="3" t="str">
        <f>"南托街道"</f>
        <v>南托街道</v>
      </c>
      <c r="D199" s="3" t="str">
        <f>"北塘社区"</f>
        <v>北塘社区</v>
      </c>
      <c r="E199" s="3" t="str">
        <f t="shared" si="62"/>
        <v>140</v>
      </c>
      <c r="F199" s="3" t="str">
        <f t="shared" si="54"/>
        <v>100</v>
      </c>
      <c r="G199" s="3" t="str">
        <f t="shared" si="63"/>
        <v>二级</v>
      </c>
    </row>
    <row r="200" customHeight="1" spans="1:7">
      <c r="A200" s="3" t="str">
        <f>"198"</f>
        <v>198</v>
      </c>
      <c r="B200" s="3" t="s">
        <v>187</v>
      </c>
      <c r="C200" s="3" t="str">
        <f>"青园街道"</f>
        <v>青园街道</v>
      </c>
      <c r="D200" s="3" t="str">
        <f>"井湾子社区"</f>
        <v>井湾子社区</v>
      </c>
      <c r="E200" s="3" t="str">
        <f t="shared" si="62"/>
        <v>140</v>
      </c>
      <c r="F200" s="3" t="str">
        <f t="shared" si="54"/>
        <v>100</v>
      </c>
      <c r="G200" s="3" t="str">
        <f t="shared" si="63"/>
        <v>二级</v>
      </c>
    </row>
    <row r="201" customHeight="1" spans="1:7">
      <c r="A201" s="3" t="str">
        <f>"199"</f>
        <v>199</v>
      </c>
      <c r="B201" s="3" t="s">
        <v>188</v>
      </c>
      <c r="C201" s="3" t="str">
        <f>"南托街道"</f>
        <v>南托街道</v>
      </c>
      <c r="D201" s="3" t="str">
        <f>"北塘社区"</f>
        <v>北塘社区</v>
      </c>
      <c r="E201" s="3" t="str">
        <f t="shared" si="62"/>
        <v>140</v>
      </c>
      <c r="F201" s="3" t="str">
        <f t="shared" si="54"/>
        <v>100</v>
      </c>
      <c r="G201" s="3" t="str">
        <f t="shared" ref="G201:G210" si="64">"一级"</f>
        <v>一级</v>
      </c>
    </row>
    <row r="202" customHeight="1" spans="1:7">
      <c r="A202" s="3" t="str">
        <f>"200"</f>
        <v>200</v>
      </c>
      <c r="B202" s="3" t="s">
        <v>189</v>
      </c>
      <c r="C202" s="3" t="str">
        <f t="shared" ref="C202:C205" si="65">"暮云街道"</f>
        <v>暮云街道</v>
      </c>
      <c r="D202" s="3" t="str">
        <f>"许兴村"</f>
        <v>许兴村</v>
      </c>
      <c r="E202" s="3" t="str">
        <f t="shared" si="62"/>
        <v>140</v>
      </c>
      <c r="F202" s="3" t="str">
        <f t="shared" si="54"/>
        <v>100</v>
      </c>
      <c r="G202" s="3" t="str">
        <f t="shared" si="64"/>
        <v>一级</v>
      </c>
    </row>
    <row r="203" customHeight="1" spans="1:7">
      <c r="A203" s="3" t="str">
        <f>"201"</f>
        <v>201</v>
      </c>
      <c r="B203" s="3" t="s">
        <v>190</v>
      </c>
      <c r="C203" s="3" t="str">
        <f>"大托铺街道"</f>
        <v>大托铺街道</v>
      </c>
      <c r="D203" s="3" t="str">
        <f>"大托村委会"</f>
        <v>大托村委会</v>
      </c>
      <c r="E203" s="3" t="str">
        <f t="shared" si="62"/>
        <v>140</v>
      </c>
      <c r="F203" s="3" t="str">
        <f t="shared" si="54"/>
        <v>100</v>
      </c>
      <c r="G203" s="3" t="str">
        <f t="shared" ref="G203:G205" si="66">"二级"</f>
        <v>二级</v>
      </c>
    </row>
    <row r="204" customHeight="1" spans="1:7">
      <c r="A204" s="3" t="str">
        <f>"202"</f>
        <v>202</v>
      </c>
      <c r="B204" s="3" t="s">
        <v>191</v>
      </c>
      <c r="C204" s="3" t="str">
        <f t="shared" si="65"/>
        <v>暮云街道</v>
      </c>
      <c r="D204" s="3" t="str">
        <f>"莲华村"</f>
        <v>莲华村</v>
      </c>
      <c r="E204" s="3" t="str">
        <f t="shared" si="62"/>
        <v>140</v>
      </c>
      <c r="F204" s="3" t="str">
        <f t="shared" si="54"/>
        <v>100</v>
      </c>
      <c r="G204" s="3" t="str">
        <f t="shared" si="66"/>
        <v>二级</v>
      </c>
    </row>
    <row r="205" customHeight="1" spans="1:7">
      <c r="A205" s="3" t="str">
        <f>"203"</f>
        <v>203</v>
      </c>
      <c r="B205" s="3" t="s">
        <v>192</v>
      </c>
      <c r="C205" s="3" t="str">
        <f t="shared" si="65"/>
        <v>暮云街道</v>
      </c>
      <c r="D205" s="3" t="str">
        <f>"暮云新村"</f>
        <v>暮云新村</v>
      </c>
      <c r="E205" s="3" t="str">
        <f t="shared" si="62"/>
        <v>140</v>
      </c>
      <c r="F205" s="3" t="str">
        <f t="shared" si="54"/>
        <v>100</v>
      </c>
      <c r="G205" s="3" t="str">
        <f t="shared" si="66"/>
        <v>二级</v>
      </c>
    </row>
    <row r="206" customHeight="1" spans="1:7">
      <c r="A206" s="3" t="str">
        <f>"204"</f>
        <v>204</v>
      </c>
      <c r="B206" s="3" t="s">
        <v>193</v>
      </c>
      <c r="C206" s="3" t="str">
        <f>"赤岭路街道"</f>
        <v>赤岭路街道</v>
      </c>
      <c r="D206" s="3" t="str">
        <f>"白沙花园社区"</f>
        <v>白沙花园社区</v>
      </c>
      <c r="E206" s="3" t="str">
        <f t="shared" si="62"/>
        <v>140</v>
      </c>
      <c r="F206" s="3" t="str">
        <f t="shared" si="54"/>
        <v>100</v>
      </c>
      <c r="G206" s="3" t="str">
        <f t="shared" si="64"/>
        <v>一级</v>
      </c>
    </row>
    <row r="207" customHeight="1" spans="1:7">
      <c r="A207" s="3" t="str">
        <f>"205"</f>
        <v>205</v>
      </c>
      <c r="B207" s="3" t="s">
        <v>194</v>
      </c>
      <c r="C207" s="3" t="str">
        <f>"新开铺街道"</f>
        <v>新开铺街道</v>
      </c>
      <c r="D207" s="3" t="str">
        <f>"桥头社区"</f>
        <v>桥头社区</v>
      </c>
      <c r="E207" s="3" t="str">
        <f t="shared" si="62"/>
        <v>140</v>
      </c>
      <c r="F207" s="3" t="str">
        <f t="shared" si="54"/>
        <v>100</v>
      </c>
      <c r="G207" s="3" t="str">
        <f t="shared" si="64"/>
        <v>一级</v>
      </c>
    </row>
    <row r="208" customHeight="1" spans="1:7">
      <c r="A208" s="3" t="str">
        <f>"206"</f>
        <v>206</v>
      </c>
      <c r="B208" s="3" t="s">
        <v>195</v>
      </c>
      <c r="C208" s="3" t="str">
        <f>"大托铺街道"</f>
        <v>大托铺街道</v>
      </c>
      <c r="D208" s="3" t="str">
        <f>"桂井村委会"</f>
        <v>桂井村委会</v>
      </c>
      <c r="E208" s="3" t="str">
        <f t="shared" si="62"/>
        <v>140</v>
      </c>
      <c r="F208" s="3" t="str">
        <f t="shared" si="54"/>
        <v>100</v>
      </c>
      <c r="G208" s="3" t="str">
        <f t="shared" si="64"/>
        <v>一级</v>
      </c>
    </row>
    <row r="209" customHeight="1" spans="1:7">
      <c r="A209" s="3" t="str">
        <f>"207"</f>
        <v>207</v>
      </c>
      <c r="B209" s="3" t="s">
        <v>196</v>
      </c>
      <c r="C209" s="3" t="str">
        <f>"青园街道"</f>
        <v>青园街道</v>
      </c>
      <c r="D209" s="3" t="str">
        <f>"井湾子社区"</f>
        <v>井湾子社区</v>
      </c>
      <c r="E209" s="3" t="str">
        <f t="shared" si="62"/>
        <v>140</v>
      </c>
      <c r="F209" s="3" t="str">
        <f t="shared" si="54"/>
        <v>100</v>
      </c>
      <c r="G209" s="3" t="str">
        <f t="shared" si="64"/>
        <v>一级</v>
      </c>
    </row>
    <row r="210" customHeight="1" spans="1:7">
      <c r="A210" s="3" t="str">
        <f>"208"</f>
        <v>208</v>
      </c>
      <c r="B210" s="3" t="s">
        <v>126</v>
      </c>
      <c r="C210" s="3" t="str">
        <f>"新开铺街道"</f>
        <v>新开铺街道</v>
      </c>
      <c r="D210" s="3" t="str">
        <f>"豹子岭社区"</f>
        <v>豹子岭社区</v>
      </c>
      <c r="E210" s="3" t="str">
        <f t="shared" si="62"/>
        <v>140</v>
      </c>
      <c r="F210" s="3" t="str">
        <f t="shared" si="54"/>
        <v>100</v>
      </c>
      <c r="G210" s="3" t="str">
        <f t="shared" si="64"/>
        <v>一级</v>
      </c>
    </row>
    <row r="211" customHeight="1" spans="1:7">
      <c r="A211" s="3" t="str">
        <f>"209"</f>
        <v>209</v>
      </c>
      <c r="B211" s="3" t="s">
        <v>197</v>
      </c>
      <c r="C211" s="3" t="str">
        <f>"裕南街街道"</f>
        <v>裕南街街道</v>
      </c>
      <c r="D211" s="3" t="str">
        <f>"长坡社区"</f>
        <v>长坡社区</v>
      </c>
      <c r="E211" s="3" t="str">
        <f t="shared" si="62"/>
        <v>140</v>
      </c>
      <c r="F211" s="3" t="str">
        <f t="shared" si="54"/>
        <v>100</v>
      </c>
      <c r="G211" s="3" t="str">
        <f t="shared" ref="G211:G215" si="67">"二级"</f>
        <v>二级</v>
      </c>
    </row>
    <row r="212" customHeight="1" spans="1:7">
      <c r="A212" s="3" t="str">
        <f>"210"</f>
        <v>210</v>
      </c>
      <c r="B212" s="3" t="s">
        <v>198</v>
      </c>
      <c r="C212" s="3" t="str">
        <f>"暮云街道"</f>
        <v>暮云街道</v>
      </c>
      <c r="D212" s="3" t="str">
        <f>"暮云社区"</f>
        <v>暮云社区</v>
      </c>
      <c r="E212" s="3" t="str">
        <f t="shared" si="62"/>
        <v>140</v>
      </c>
      <c r="F212" s="3" t="str">
        <f t="shared" si="54"/>
        <v>100</v>
      </c>
      <c r="G212" s="3" t="str">
        <f t="shared" si="67"/>
        <v>二级</v>
      </c>
    </row>
    <row r="213" customHeight="1" spans="1:7">
      <c r="A213" s="3" t="str">
        <f>"211"</f>
        <v>211</v>
      </c>
      <c r="B213" s="3" t="s">
        <v>199</v>
      </c>
      <c r="C213" s="3" t="str">
        <f>"青园街道"</f>
        <v>青园街道</v>
      </c>
      <c r="D213" s="3" t="str">
        <f>"湘园社区"</f>
        <v>湘园社区</v>
      </c>
      <c r="E213" s="3" t="str">
        <f t="shared" si="62"/>
        <v>140</v>
      </c>
      <c r="F213" s="3" t="str">
        <f t="shared" si="54"/>
        <v>100</v>
      </c>
      <c r="G213" s="3" t="str">
        <f t="shared" ref="G213:G216" si="68">"一级"</f>
        <v>一级</v>
      </c>
    </row>
    <row r="214" customHeight="1" spans="1:7">
      <c r="A214" s="3" t="str">
        <f>"212"</f>
        <v>212</v>
      </c>
      <c r="B214" s="3" t="s">
        <v>200</v>
      </c>
      <c r="C214" s="3" t="str">
        <f>"新开铺街道"</f>
        <v>新开铺街道</v>
      </c>
      <c r="D214" s="3" t="str">
        <f>"豹子岭社区"</f>
        <v>豹子岭社区</v>
      </c>
      <c r="E214" s="3" t="str">
        <f t="shared" si="62"/>
        <v>140</v>
      </c>
      <c r="F214" s="3" t="str">
        <f t="shared" si="54"/>
        <v>100</v>
      </c>
      <c r="G214" s="3" t="str">
        <f t="shared" si="68"/>
        <v>一级</v>
      </c>
    </row>
    <row r="215" customHeight="1" spans="1:7">
      <c r="A215" s="3" t="str">
        <f>"213"</f>
        <v>213</v>
      </c>
      <c r="B215" s="3" t="s">
        <v>201</v>
      </c>
      <c r="C215" s="3" t="str">
        <f>"青园街道"</f>
        <v>青园街道</v>
      </c>
      <c r="D215" s="3" t="str">
        <f>"湘园社区"</f>
        <v>湘园社区</v>
      </c>
      <c r="E215" s="3" t="str">
        <f t="shared" si="62"/>
        <v>140</v>
      </c>
      <c r="F215" s="3" t="str">
        <f t="shared" si="54"/>
        <v>100</v>
      </c>
      <c r="G215" s="3" t="str">
        <f t="shared" si="67"/>
        <v>二级</v>
      </c>
    </row>
    <row r="216" customHeight="1" spans="1:7">
      <c r="A216" s="3" t="str">
        <f>"214"</f>
        <v>214</v>
      </c>
      <c r="B216" s="3" t="s">
        <v>202</v>
      </c>
      <c r="C216" s="3" t="str">
        <f t="shared" ref="C216:C222" si="69">"坡子街街道"</f>
        <v>坡子街街道</v>
      </c>
      <c r="D216" s="3" t="str">
        <f>"坡子街社区"</f>
        <v>坡子街社区</v>
      </c>
      <c r="E216" s="3" t="str">
        <f t="shared" si="62"/>
        <v>140</v>
      </c>
      <c r="F216" s="3" t="str">
        <f t="shared" si="54"/>
        <v>100</v>
      </c>
      <c r="G216" s="3" t="str">
        <f t="shared" si="68"/>
        <v>一级</v>
      </c>
    </row>
    <row r="217" customHeight="1" spans="1:7">
      <c r="A217" s="3" t="str">
        <f>"215"</f>
        <v>215</v>
      </c>
      <c r="B217" s="3" t="s">
        <v>203</v>
      </c>
      <c r="C217" s="3" t="str">
        <f t="shared" si="69"/>
        <v>坡子街街道</v>
      </c>
      <c r="D217" s="3" t="str">
        <f>"坡子街社区"</f>
        <v>坡子街社区</v>
      </c>
      <c r="E217" s="3" t="str">
        <f t="shared" si="62"/>
        <v>140</v>
      </c>
      <c r="F217" s="3" t="str">
        <f t="shared" si="54"/>
        <v>100</v>
      </c>
      <c r="G217" s="3" t="str">
        <f t="shared" ref="G217:G219" si="70">"二级"</f>
        <v>二级</v>
      </c>
    </row>
    <row r="218" customHeight="1" spans="1:7">
      <c r="A218" s="3" t="str">
        <f>"216"</f>
        <v>216</v>
      </c>
      <c r="B218" s="3" t="s">
        <v>70</v>
      </c>
      <c r="C218" s="3" t="str">
        <f>"裕南街街道"</f>
        <v>裕南街街道</v>
      </c>
      <c r="D218" s="3" t="str">
        <f>"长坡社区"</f>
        <v>长坡社区</v>
      </c>
      <c r="E218" s="3" t="str">
        <f t="shared" si="62"/>
        <v>140</v>
      </c>
      <c r="F218" s="3" t="str">
        <f t="shared" si="54"/>
        <v>100</v>
      </c>
      <c r="G218" s="3" t="str">
        <f t="shared" si="70"/>
        <v>二级</v>
      </c>
    </row>
    <row r="219" customHeight="1" spans="1:7">
      <c r="A219" s="3" t="str">
        <f>"217"</f>
        <v>217</v>
      </c>
      <c r="B219" s="3" t="s">
        <v>204</v>
      </c>
      <c r="C219" s="3" t="str">
        <f t="shared" si="69"/>
        <v>坡子街街道</v>
      </c>
      <c r="D219" s="3" t="str">
        <f>"太平街社区"</f>
        <v>太平街社区</v>
      </c>
      <c r="E219" s="3" t="str">
        <f t="shared" si="62"/>
        <v>140</v>
      </c>
      <c r="F219" s="3" t="str">
        <f t="shared" si="54"/>
        <v>100</v>
      </c>
      <c r="G219" s="3" t="str">
        <f t="shared" si="70"/>
        <v>二级</v>
      </c>
    </row>
    <row r="220" customHeight="1" spans="1:7">
      <c r="A220" s="3" t="str">
        <f>"218"</f>
        <v>218</v>
      </c>
      <c r="B220" s="3" t="s">
        <v>205</v>
      </c>
      <c r="C220" s="3" t="str">
        <f t="shared" si="69"/>
        <v>坡子街街道</v>
      </c>
      <c r="D220" s="3" t="str">
        <f>"太平街社区"</f>
        <v>太平街社区</v>
      </c>
      <c r="E220" s="3" t="str">
        <f t="shared" si="62"/>
        <v>140</v>
      </c>
      <c r="F220" s="3" t="str">
        <f t="shared" si="54"/>
        <v>100</v>
      </c>
      <c r="G220" s="3" t="str">
        <f>"一级"</f>
        <v>一级</v>
      </c>
    </row>
    <row r="221" customHeight="1" spans="1:7">
      <c r="A221" s="3" t="str">
        <f>"219"</f>
        <v>219</v>
      </c>
      <c r="B221" s="3" t="s">
        <v>206</v>
      </c>
      <c r="C221" s="3" t="str">
        <f t="shared" si="69"/>
        <v>坡子街街道</v>
      </c>
      <c r="D221" s="3" t="str">
        <f>"西牌楼社区"</f>
        <v>西牌楼社区</v>
      </c>
      <c r="E221" s="3" t="str">
        <f t="shared" si="62"/>
        <v>140</v>
      </c>
      <c r="F221" s="3" t="str">
        <f t="shared" si="54"/>
        <v>100</v>
      </c>
      <c r="G221" s="3" t="str">
        <f t="shared" ref="G221:G226" si="71">"二级"</f>
        <v>二级</v>
      </c>
    </row>
    <row r="222" customHeight="1" spans="1:7">
      <c r="A222" s="3" t="str">
        <f>"220"</f>
        <v>220</v>
      </c>
      <c r="B222" s="3" t="s">
        <v>207</v>
      </c>
      <c r="C222" s="3" t="str">
        <f t="shared" si="69"/>
        <v>坡子街街道</v>
      </c>
      <c r="D222" s="3" t="str">
        <f t="shared" ref="D222:D227" si="72">"文庙坪社区"</f>
        <v>文庙坪社区</v>
      </c>
      <c r="E222" s="3" t="str">
        <f t="shared" si="62"/>
        <v>140</v>
      </c>
      <c r="F222" s="3" t="str">
        <f t="shared" si="54"/>
        <v>100</v>
      </c>
      <c r="G222" s="3" t="str">
        <f t="shared" si="71"/>
        <v>二级</v>
      </c>
    </row>
    <row r="223" customHeight="1" spans="1:7">
      <c r="A223" s="3" t="str">
        <f>"221"</f>
        <v>221</v>
      </c>
      <c r="B223" s="3" t="s">
        <v>208</v>
      </c>
      <c r="C223" s="3" t="str">
        <f>"裕南街街道"</f>
        <v>裕南街街道</v>
      </c>
      <c r="D223" s="3" t="str">
        <f>"向东南社区"</f>
        <v>向东南社区</v>
      </c>
      <c r="E223" s="3" t="str">
        <f t="shared" si="62"/>
        <v>140</v>
      </c>
      <c r="F223" s="3" t="str">
        <f t="shared" si="54"/>
        <v>100</v>
      </c>
      <c r="G223" s="3" t="str">
        <f t="shared" si="71"/>
        <v>二级</v>
      </c>
    </row>
    <row r="224" customHeight="1" spans="1:7">
      <c r="A224" s="3" t="str">
        <f>"222"</f>
        <v>222</v>
      </c>
      <c r="B224" s="3" t="s">
        <v>209</v>
      </c>
      <c r="C224" s="3" t="str">
        <f t="shared" ref="C224:C227" si="73">"坡子街街道"</f>
        <v>坡子街街道</v>
      </c>
      <c r="D224" s="3" t="str">
        <f>"登仁桥社区"</f>
        <v>登仁桥社区</v>
      </c>
      <c r="E224" s="3" t="str">
        <f t="shared" si="62"/>
        <v>140</v>
      </c>
      <c r="F224" s="3" t="str">
        <f t="shared" si="54"/>
        <v>100</v>
      </c>
      <c r="G224" s="3" t="str">
        <f t="shared" si="71"/>
        <v>二级</v>
      </c>
    </row>
    <row r="225" customHeight="1" spans="1:7">
      <c r="A225" s="3" t="str">
        <f>"223"</f>
        <v>223</v>
      </c>
      <c r="B225" s="3" t="s">
        <v>27</v>
      </c>
      <c r="C225" s="3" t="str">
        <f t="shared" si="73"/>
        <v>坡子街街道</v>
      </c>
      <c r="D225" s="3" t="str">
        <f t="shared" si="72"/>
        <v>文庙坪社区</v>
      </c>
      <c r="E225" s="3" t="str">
        <f t="shared" si="62"/>
        <v>140</v>
      </c>
      <c r="F225" s="3" t="str">
        <f t="shared" si="54"/>
        <v>100</v>
      </c>
      <c r="G225" s="3" t="str">
        <f t="shared" si="71"/>
        <v>二级</v>
      </c>
    </row>
    <row r="226" customHeight="1" spans="1:7">
      <c r="A226" s="3" t="str">
        <f>"224"</f>
        <v>224</v>
      </c>
      <c r="B226" s="3" t="s">
        <v>210</v>
      </c>
      <c r="C226" s="3" t="str">
        <f>"青园街道"</f>
        <v>青园街道</v>
      </c>
      <c r="D226" s="3" t="str">
        <f>"青园社区"</f>
        <v>青园社区</v>
      </c>
      <c r="E226" s="3" t="str">
        <f t="shared" si="62"/>
        <v>140</v>
      </c>
      <c r="F226" s="3" t="str">
        <f t="shared" si="54"/>
        <v>100</v>
      </c>
      <c r="G226" s="3" t="str">
        <f t="shared" si="71"/>
        <v>二级</v>
      </c>
    </row>
    <row r="227" customHeight="1" spans="1:7">
      <c r="A227" s="3" t="str">
        <f>"225"</f>
        <v>225</v>
      </c>
      <c r="B227" s="3" t="s">
        <v>70</v>
      </c>
      <c r="C227" s="3" t="str">
        <f t="shared" si="73"/>
        <v>坡子街街道</v>
      </c>
      <c r="D227" s="3" t="str">
        <f t="shared" si="72"/>
        <v>文庙坪社区</v>
      </c>
      <c r="E227" s="3" t="str">
        <f t="shared" si="62"/>
        <v>140</v>
      </c>
      <c r="F227" s="3" t="str">
        <f t="shared" si="54"/>
        <v>100</v>
      </c>
      <c r="G227" s="3" t="str">
        <f>"一级"</f>
        <v>一级</v>
      </c>
    </row>
    <row r="228" customHeight="1" spans="1:7">
      <c r="A228" s="3" t="str">
        <f>"226"</f>
        <v>226</v>
      </c>
      <c r="B228" s="3" t="s">
        <v>211</v>
      </c>
      <c r="C228" s="3" t="str">
        <f>"文源街道"</f>
        <v>文源街道</v>
      </c>
      <c r="D228" s="3" t="str">
        <f>"梅岭社区"</f>
        <v>梅岭社区</v>
      </c>
      <c r="E228" s="3" t="str">
        <f t="shared" si="62"/>
        <v>140</v>
      </c>
      <c r="F228" s="3" t="str">
        <f t="shared" si="54"/>
        <v>100</v>
      </c>
      <c r="G228" s="3" t="str">
        <f>"一级"</f>
        <v>一级</v>
      </c>
    </row>
    <row r="229" customHeight="1" spans="1:7">
      <c r="A229" s="3" t="str">
        <f>"227"</f>
        <v>227</v>
      </c>
      <c r="B229" s="3" t="s">
        <v>212</v>
      </c>
      <c r="C229" s="3" t="str">
        <f>"新开铺街道"</f>
        <v>新开铺街道</v>
      </c>
      <c r="D229" s="3" t="str">
        <f>"新天社区"</f>
        <v>新天社区</v>
      </c>
      <c r="E229" s="3" t="str">
        <f t="shared" si="62"/>
        <v>140</v>
      </c>
      <c r="F229" s="3" t="str">
        <f t="shared" si="54"/>
        <v>100</v>
      </c>
      <c r="G229" s="3" t="str">
        <f t="shared" ref="G229:G232" si="74">"二级"</f>
        <v>二级</v>
      </c>
    </row>
    <row r="230" customHeight="1" spans="1:7">
      <c r="A230" s="3" t="str">
        <f>"228"</f>
        <v>228</v>
      </c>
      <c r="B230" s="3" t="s">
        <v>213</v>
      </c>
      <c r="C230" s="3" t="str">
        <f>"新开铺街道"</f>
        <v>新开铺街道</v>
      </c>
      <c r="D230" s="3" t="str">
        <f>"新天社区"</f>
        <v>新天社区</v>
      </c>
      <c r="E230" s="3" t="str">
        <f t="shared" si="62"/>
        <v>140</v>
      </c>
      <c r="F230" s="3" t="str">
        <f t="shared" si="54"/>
        <v>100</v>
      </c>
      <c r="G230" s="3" t="str">
        <f t="shared" si="74"/>
        <v>二级</v>
      </c>
    </row>
    <row r="231" customHeight="1" spans="1:7">
      <c r="A231" s="3" t="str">
        <f>"229"</f>
        <v>229</v>
      </c>
      <c r="B231" s="3" t="s">
        <v>214</v>
      </c>
      <c r="C231" s="3" t="str">
        <f>"裕南街街道"</f>
        <v>裕南街街道</v>
      </c>
      <c r="D231" s="3" t="str">
        <f>"宝塔山社区"</f>
        <v>宝塔山社区</v>
      </c>
      <c r="E231" s="3" t="str">
        <f t="shared" si="62"/>
        <v>140</v>
      </c>
      <c r="F231" s="3" t="str">
        <f t="shared" si="54"/>
        <v>100</v>
      </c>
      <c r="G231" s="3" t="str">
        <f t="shared" si="74"/>
        <v>二级</v>
      </c>
    </row>
    <row r="232" customHeight="1" spans="1:7">
      <c r="A232" s="3" t="str">
        <f>"230"</f>
        <v>230</v>
      </c>
      <c r="B232" s="3" t="s">
        <v>215</v>
      </c>
      <c r="C232" s="3" t="str">
        <f>"裕南街街道"</f>
        <v>裕南街街道</v>
      </c>
      <c r="D232" s="3" t="str">
        <f>"碧沙湖社区"</f>
        <v>碧沙湖社区</v>
      </c>
      <c r="E232" s="3" t="str">
        <f t="shared" si="62"/>
        <v>140</v>
      </c>
      <c r="F232" s="3" t="str">
        <f t="shared" si="54"/>
        <v>100</v>
      </c>
      <c r="G232" s="3" t="str">
        <f t="shared" si="74"/>
        <v>二级</v>
      </c>
    </row>
    <row r="233" customHeight="1" spans="1:7">
      <c r="A233" s="3" t="str">
        <f>"231"</f>
        <v>231</v>
      </c>
      <c r="B233" s="3" t="s">
        <v>216</v>
      </c>
      <c r="C233" s="3" t="str">
        <f t="shared" ref="C233:C238" si="75">"坡子街街道"</f>
        <v>坡子街街道</v>
      </c>
      <c r="D233" s="3" t="str">
        <f>"碧湘社区"</f>
        <v>碧湘社区</v>
      </c>
      <c r="E233" s="3" t="str">
        <f t="shared" si="62"/>
        <v>140</v>
      </c>
      <c r="F233" s="3" t="str">
        <f t="shared" si="54"/>
        <v>100</v>
      </c>
      <c r="G233" s="3" t="str">
        <f t="shared" ref="G233:G236" si="76">"一级"</f>
        <v>一级</v>
      </c>
    </row>
    <row r="234" customHeight="1" spans="1:7">
      <c r="A234" s="3" t="str">
        <f>"232"</f>
        <v>232</v>
      </c>
      <c r="B234" s="3" t="s">
        <v>217</v>
      </c>
      <c r="C234" s="3" t="str">
        <f>"暮云街道"</f>
        <v>暮云街道</v>
      </c>
      <c r="D234" s="3" t="str">
        <f>"丽发社区"</f>
        <v>丽发社区</v>
      </c>
      <c r="E234" s="3" t="str">
        <f t="shared" si="62"/>
        <v>140</v>
      </c>
      <c r="F234" s="3" t="str">
        <f t="shared" si="54"/>
        <v>100</v>
      </c>
      <c r="G234" s="3" t="str">
        <f t="shared" si="76"/>
        <v>一级</v>
      </c>
    </row>
    <row r="235" customHeight="1" spans="1:7">
      <c r="A235" s="3" t="str">
        <f>"233"</f>
        <v>233</v>
      </c>
      <c r="B235" s="3" t="s">
        <v>218</v>
      </c>
      <c r="C235" s="3" t="str">
        <f t="shared" si="75"/>
        <v>坡子街街道</v>
      </c>
      <c r="D235" s="3" t="str">
        <f>"创远社区"</f>
        <v>创远社区</v>
      </c>
      <c r="E235" s="3" t="str">
        <f t="shared" si="62"/>
        <v>140</v>
      </c>
      <c r="F235" s="3" t="str">
        <f t="shared" si="54"/>
        <v>100</v>
      </c>
      <c r="G235" s="3" t="str">
        <f t="shared" si="76"/>
        <v>一级</v>
      </c>
    </row>
    <row r="236" customHeight="1" spans="1:7">
      <c r="A236" s="3" t="str">
        <f>"234"</f>
        <v>234</v>
      </c>
      <c r="B236" s="3" t="s">
        <v>219</v>
      </c>
      <c r="C236" s="3" t="str">
        <f>"城南路街道"</f>
        <v>城南路街道</v>
      </c>
      <c r="D236" s="3" t="str">
        <f>"白沙井社区"</f>
        <v>白沙井社区</v>
      </c>
      <c r="E236" s="3" t="str">
        <f t="shared" si="62"/>
        <v>140</v>
      </c>
      <c r="F236" s="3" t="str">
        <f t="shared" si="54"/>
        <v>100</v>
      </c>
      <c r="G236" s="3" t="str">
        <f t="shared" si="76"/>
        <v>一级</v>
      </c>
    </row>
    <row r="237" customHeight="1" spans="1:7">
      <c r="A237" s="3" t="str">
        <f>"235"</f>
        <v>235</v>
      </c>
      <c r="B237" s="3" t="s">
        <v>220</v>
      </c>
      <c r="C237" s="3" t="str">
        <f>"金盆岭街道"</f>
        <v>金盆岭街道</v>
      </c>
      <c r="D237" s="3" t="str">
        <f>"天剑社区"</f>
        <v>天剑社区</v>
      </c>
      <c r="E237" s="3" t="str">
        <f t="shared" si="62"/>
        <v>140</v>
      </c>
      <c r="F237" s="3" t="str">
        <f t="shared" ref="F237:F300" si="77">"100"</f>
        <v>100</v>
      </c>
      <c r="G237" s="3" t="str">
        <f t="shared" ref="G237:G243" si="78">"二级"</f>
        <v>二级</v>
      </c>
    </row>
    <row r="238" customHeight="1" spans="1:7">
      <c r="A238" s="3" t="str">
        <f>"236"</f>
        <v>236</v>
      </c>
      <c r="B238" s="3" t="s">
        <v>221</v>
      </c>
      <c r="C238" s="3" t="str">
        <f t="shared" si="75"/>
        <v>坡子街街道</v>
      </c>
      <c r="D238" s="3" t="str">
        <f>"碧湘社区"</f>
        <v>碧湘社区</v>
      </c>
      <c r="E238" s="3" t="str">
        <f t="shared" si="62"/>
        <v>140</v>
      </c>
      <c r="F238" s="3" t="str">
        <f t="shared" si="77"/>
        <v>100</v>
      </c>
      <c r="G238" s="3" t="str">
        <f t="shared" si="78"/>
        <v>二级</v>
      </c>
    </row>
    <row r="239" customHeight="1" spans="1:7">
      <c r="A239" s="3" t="str">
        <f>"237"</f>
        <v>237</v>
      </c>
      <c r="B239" s="3" t="s">
        <v>139</v>
      </c>
      <c r="C239" s="3" t="str">
        <f>"裕南街街道"</f>
        <v>裕南街街道</v>
      </c>
      <c r="D239" s="3" t="str">
        <f>"长坡社区"</f>
        <v>长坡社区</v>
      </c>
      <c r="E239" s="3" t="str">
        <f t="shared" si="62"/>
        <v>140</v>
      </c>
      <c r="F239" s="3" t="str">
        <f t="shared" si="77"/>
        <v>100</v>
      </c>
      <c r="G239" s="3" t="str">
        <f t="shared" si="78"/>
        <v>二级</v>
      </c>
    </row>
    <row r="240" customHeight="1" spans="1:7">
      <c r="A240" s="3" t="str">
        <f>"238"</f>
        <v>238</v>
      </c>
      <c r="B240" s="3" t="s">
        <v>222</v>
      </c>
      <c r="C240" s="3" t="str">
        <f>"裕南街街道"</f>
        <v>裕南街街道</v>
      </c>
      <c r="D240" s="3" t="str">
        <f>"杏花园社区"</f>
        <v>杏花园社区</v>
      </c>
      <c r="E240" s="3" t="str">
        <f t="shared" si="62"/>
        <v>140</v>
      </c>
      <c r="F240" s="3" t="str">
        <f t="shared" si="77"/>
        <v>100</v>
      </c>
      <c r="G240" s="3" t="str">
        <f t="shared" si="78"/>
        <v>二级</v>
      </c>
    </row>
    <row r="241" customHeight="1" spans="1:7">
      <c r="A241" s="3" t="str">
        <f>"239"</f>
        <v>239</v>
      </c>
      <c r="B241" s="3" t="s">
        <v>223</v>
      </c>
      <c r="C241" s="3" t="str">
        <f>"暮云街道"</f>
        <v>暮云街道</v>
      </c>
      <c r="D241" s="3" t="str">
        <f>"暮云社区"</f>
        <v>暮云社区</v>
      </c>
      <c r="E241" s="3" t="str">
        <f t="shared" si="62"/>
        <v>140</v>
      </c>
      <c r="F241" s="3" t="str">
        <f t="shared" si="77"/>
        <v>100</v>
      </c>
      <c r="G241" s="3" t="str">
        <f t="shared" si="78"/>
        <v>二级</v>
      </c>
    </row>
    <row r="242" customHeight="1" spans="1:7">
      <c r="A242" s="3" t="str">
        <f>"240"</f>
        <v>240</v>
      </c>
      <c r="B242" s="3" t="s">
        <v>224</v>
      </c>
      <c r="C242" s="3" t="str">
        <f>"坡子街街道"</f>
        <v>坡子街街道</v>
      </c>
      <c r="D242" s="3" t="str">
        <f>"青山祠社区"</f>
        <v>青山祠社区</v>
      </c>
      <c r="E242" s="3" t="str">
        <f t="shared" si="62"/>
        <v>140</v>
      </c>
      <c r="F242" s="3" t="str">
        <f t="shared" si="77"/>
        <v>100</v>
      </c>
      <c r="G242" s="3" t="str">
        <f t="shared" si="78"/>
        <v>二级</v>
      </c>
    </row>
    <row r="243" customHeight="1" spans="1:7">
      <c r="A243" s="3" t="str">
        <f>"241"</f>
        <v>241</v>
      </c>
      <c r="B243" s="3" t="s">
        <v>76</v>
      </c>
      <c r="C243" s="3" t="str">
        <f>"金盆岭街道"</f>
        <v>金盆岭街道</v>
      </c>
      <c r="D243" s="3" t="str">
        <f>"狮子山社区"</f>
        <v>狮子山社区</v>
      </c>
      <c r="E243" s="3" t="str">
        <f t="shared" si="62"/>
        <v>140</v>
      </c>
      <c r="F243" s="3" t="str">
        <f t="shared" si="77"/>
        <v>100</v>
      </c>
      <c r="G243" s="3" t="str">
        <f t="shared" si="78"/>
        <v>二级</v>
      </c>
    </row>
    <row r="244" customHeight="1" spans="1:7">
      <c r="A244" s="3" t="str">
        <f>"242"</f>
        <v>242</v>
      </c>
      <c r="B244" s="3" t="s">
        <v>225</v>
      </c>
      <c r="C244" s="3" t="str">
        <f>"城南路街道"</f>
        <v>城南路街道</v>
      </c>
      <c r="D244" s="3" t="str">
        <f>"古道巷社区"</f>
        <v>古道巷社区</v>
      </c>
      <c r="E244" s="3" t="str">
        <f t="shared" si="62"/>
        <v>140</v>
      </c>
      <c r="F244" s="3" t="str">
        <f t="shared" si="77"/>
        <v>100</v>
      </c>
      <c r="G244" s="3" t="str">
        <f>"一级"</f>
        <v>一级</v>
      </c>
    </row>
    <row r="245" customHeight="1" spans="1:7">
      <c r="A245" s="3" t="str">
        <f>"243"</f>
        <v>243</v>
      </c>
      <c r="B245" s="3" t="s">
        <v>226</v>
      </c>
      <c r="C245" s="3" t="str">
        <f>"城南路街道"</f>
        <v>城南路街道</v>
      </c>
      <c r="D245" s="3" t="str">
        <f>"熙台岭社区"</f>
        <v>熙台岭社区</v>
      </c>
      <c r="E245" s="3" t="str">
        <f t="shared" si="62"/>
        <v>140</v>
      </c>
      <c r="F245" s="3" t="str">
        <f t="shared" si="77"/>
        <v>100</v>
      </c>
      <c r="G245" s="3" t="str">
        <f t="shared" ref="G245:G247" si="79">"二级"</f>
        <v>二级</v>
      </c>
    </row>
    <row r="246" customHeight="1" spans="1:7">
      <c r="A246" s="3" t="str">
        <f>"244"</f>
        <v>244</v>
      </c>
      <c r="B246" s="3" t="s">
        <v>227</v>
      </c>
      <c r="C246" s="3" t="str">
        <f>"青园街道"</f>
        <v>青园街道</v>
      </c>
      <c r="D246" s="3" t="str">
        <f>"井湾子社区"</f>
        <v>井湾子社区</v>
      </c>
      <c r="E246" s="3" t="str">
        <f t="shared" si="62"/>
        <v>140</v>
      </c>
      <c r="F246" s="3" t="str">
        <f t="shared" si="77"/>
        <v>100</v>
      </c>
      <c r="G246" s="3" t="str">
        <f t="shared" si="79"/>
        <v>二级</v>
      </c>
    </row>
    <row r="247" customHeight="1" spans="1:7">
      <c r="A247" s="3" t="str">
        <f>"245"</f>
        <v>245</v>
      </c>
      <c r="B247" s="3" t="s">
        <v>228</v>
      </c>
      <c r="C247" s="3" t="str">
        <f>"裕南街街道"</f>
        <v>裕南街街道</v>
      </c>
      <c r="D247" s="3" t="str">
        <f>"仰天湖社区"</f>
        <v>仰天湖社区</v>
      </c>
      <c r="E247" s="3" t="str">
        <f t="shared" si="62"/>
        <v>140</v>
      </c>
      <c r="F247" s="3" t="str">
        <f t="shared" si="77"/>
        <v>100</v>
      </c>
      <c r="G247" s="3" t="str">
        <f t="shared" si="79"/>
        <v>二级</v>
      </c>
    </row>
    <row r="248" customHeight="1" spans="1:7">
      <c r="A248" s="3" t="str">
        <f>"246"</f>
        <v>246</v>
      </c>
      <c r="B248" s="3" t="s">
        <v>39</v>
      </c>
      <c r="C248" s="3" t="str">
        <f>"金盆岭街道"</f>
        <v>金盆岭街道</v>
      </c>
      <c r="D248" s="3" t="str">
        <f>"涂新社区"</f>
        <v>涂新社区</v>
      </c>
      <c r="E248" s="3" t="str">
        <f t="shared" si="62"/>
        <v>140</v>
      </c>
      <c r="F248" s="3" t="str">
        <f t="shared" si="77"/>
        <v>100</v>
      </c>
      <c r="G248" s="3" t="str">
        <f t="shared" ref="G248:G253" si="80">"一级"</f>
        <v>一级</v>
      </c>
    </row>
    <row r="249" customHeight="1" spans="1:7">
      <c r="A249" s="3" t="str">
        <f>"247"</f>
        <v>247</v>
      </c>
      <c r="B249" s="3" t="s">
        <v>229</v>
      </c>
      <c r="C249" s="3" t="str">
        <f>"文源街道"</f>
        <v>文源街道</v>
      </c>
      <c r="D249" s="3" t="str">
        <f>"状元坡社区"</f>
        <v>状元坡社区</v>
      </c>
      <c r="E249" s="3" t="str">
        <f t="shared" si="62"/>
        <v>140</v>
      </c>
      <c r="F249" s="3" t="str">
        <f t="shared" si="77"/>
        <v>100</v>
      </c>
      <c r="G249" s="3" t="str">
        <f t="shared" ref="G249:G252" si="81">"二级"</f>
        <v>二级</v>
      </c>
    </row>
    <row r="250" customHeight="1" spans="1:7">
      <c r="A250" s="3" t="str">
        <f>"248"</f>
        <v>248</v>
      </c>
      <c r="B250" s="3" t="s">
        <v>230</v>
      </c>
      <c r="C250" s="3" t="str">
        <f>"南托街道"</f>
        <v>南托街道</v>
      </c>
      <c r="D250" s="3" t="str">
        <f>"融城社区"</f>
        <v>融城社区</v>
      </c>
      <c r="E250" s="3" t="str">
        <f t="shared" si="62"/>
        <v>140</v>
      </c>
      <c r="F250" s="3" t="str">
        <f t="shared" si="77"/>
        <v>100</v>
      </c>
      <c r="G250" s="3" t="str">
        <f t="shared" si="80"/>
        <v>一级</v>
      </c>
    </row>
    <row r="251" customHeight="1" spans="1:7">
      <c r="A251" s="3" t="str">
        <f>"249"</f>
        <v>249</v>
      </c>
      <c r="B251" s="3" t="s">
        <v>231</v>
      </c>
      <c r="C251" s="3" t="str">
        <f>"坡子街街道"</f>
        <v>坡子街街道</v>
      </c>
      <c r="D251" s="3" t="str">
        <f>"碧湘社区"</f>
        <v>碧湘社区</v>
      </c>
      <c r="E251" s="3" t="str">
        <f t="shared" si="62"/>
        <v>140</v>
      </c>
      <c r="F251" s="3" t="str">
        <f t="shared" si="77"/>
        <v>100</v>
      </c>
      <c r="G251" s="3" t="str">
        <f t="shared" si="81"/>
        <v>二级</v>
      </c>
    </row>
    <row r="252" customHeight="1" spans="1:7">
      <c r="A252" s="3" t="str">
        <f>"250"</f>
        <v>250</v>
      </c>
      <c r="B252" s="3" t="s">
        <v>232</v>
      </c>
      <c r="C252" s="3" t="str">
        <f t="shared" ref="C252:C258" si="82">"裕南街街道"</f>
        <v>裕南街街道</v>
      </c>
      <c r="D252" s="3" t="str">
        <f>"东瓜山社区"</f>
        <v>东瓜山社区</v>
      </c>
      <c r="E252" s="3" t="str">
        <f t="shared" si="62"/>
        <v>140</v>
      </c>
      <c r="F252" s="3" t="str">
        <f t="shared" si="77"/>
        <v>100</v>
      </c>
      <c r="G252" s="3" t="str">
        <f t="shared" si="81"/>
        <v>二级</v>
      </c>
    </row>
    <row r="253" customHeight="1" spans="1:7">
      <c r="A253" s="3" t="str">
        <f>"251"</f>
        <v>251</v>
      </c>
      <c r="B253" s="3" t="s">
        <v>233</v>
      </c>
      <c r="C253" s="3" t="str">
        <f>"桂花坪街道"</f>
        <v>桂花坪街道</v>
      </c>
      <c r="D253" s="3" t="str">
        <f>"金桂社区"</f>
        <v>金桂社区</v>
      </c>
      <c r="E253" s="3" t="str">
        <f t="shared" si="62"/>
        <v>140</v>
      </c>
      <c r="F253" s="3" t="str">
        <f t="shared" si="77"/>
        <v>100</v>
      </c>
      <c r="G253" s="3" t="str">
        <f t="shared" si="80"/>
        <v>一级</v>
      </c>
    </row>
    <row r="254" customHeight="1" spans="1:7">
      <c r="A254" s="3" t="str">
        <f>"252"</f>
        <v>252</v>
      </c>
      <c r="B254" s="3" t="s">
        <v>32</v>
      </c>
      <c r="C254" s="3" t="str">
        <f>"桂花坪街道"</f>
        <v>桂花坪街道</v>
      </c>
      <c r="D254" s="3" t="str">
        <f>"桂庄社区"</f>
        <v>桂庄社区</v>
      </c>
      <c r="E254" s="3" t="str">
        <f t="shared" si="62"/>
        <v>140</v>
      </c>
      <c r="F254" s="3" t="str">
        <f t="shared" si="77"/>
        <v>100</v>
      </c>
      <c r="G254" s="3" t="str">
        <f t="shared" ref="G254:G260" si="83">"二级"</f>
        <v>二级</v>
      </c>
    </row>
    <row r="255" customHeight="1" spans="1:7">
      <c r="A255" s="3" t="str">
        <f>"253"</f>
        <v>253</v>
      </c>
      <c r="B255" s="3" t="s">
        <v>234</v>
      </c>
      <c r="C255" s="3" t="str">
        <f>"坡子街街道"</f>
        <v>坡子街街道</v>
      </c>
      <c r="D255" s="3" t="str">
        <f>"碧湘社区"</f>
        <v>碧湘社区</v>
      </c>
      <c r="E255" s="3" t="str">
        <f t="shared" si="62"/>
        <v>140</v>
      </c>
      <c r="F255" s="3" t="str">
        <f t="shared" si="77"/>
        <v>100</v>
      </c>
      <c r="G255" s="3" t="str">
        <f t="shared" si="83"/>
        <v>二级</v>
      </c>
    </row>
    <row r="256" customHeight="1" spans="1:7">
      <c r="A256" s="3" t="str">
        <f>"254"</f>
        <v>254</v>
      </c>
      <c r="B256" s="3" t="s">
        <v>235</v>
      </c>
      <c r="C256" s="3" t="str">
        <f t="shared" si="82"/>
        <v>裕南街街道</v>
      </c>
      <c r="D256" s="3" t="str">
        <f>"火把山社区"</f>
        <v>火把山社区</v>
      </c>
      <c r="E256" s="3" t="str">
        <f t="shared" si="62"/>
        <v>140</v>
      </c>
      <c r="F256" s="3" t="str">
        <f t="shared" si="77"/>
        <v>100</v>
      </c>
      <c r="G256" s="3" t="str">
        <f>"一级"</f>
        <v>一级</v>
      </c>
    </row>
    <row r="257" customHeight="1" spans="1:7">
      <c r="A257" s="3" t="str">
        <f>"255"</f>
        <v>255</v>
      </c>
      <c r="B257" s="3" t="s">
        <v>236</v>
      </c>
      <c r="C257" s="3" t="str">
        <f t="shared" si="82"/>
        <v>裕南街街道</v>
      </c>
      <c r="D257" s="3" t="str">
        <f>"火把山社区"</f>
        <v>火把山社区</v>
      </c>
      <c r="E257" s="3" t="str">
        <f t="shared" si="62"/>
        <v>140</v>
      </c>
      <c r="F257" s="3" t="str">
        <f t="shared" si="77"/>
        <v>100</v>
      </c>
      <c r="G257" s="3" t="str">
        <f t="shared" si="83"/>
        <v>二级</v>
      </c>
    </row>
    <row r="258" customHeight="1" spans="1:7">
      <c r="A258" s="3" t="str">
        <f>"256"</f>
        <v>256</v>
      </c>
      <c r="B258" s="3" t="s">
        <v>237</v>
      </c>
      <c r="C258" s="3" t="str">
        <f t="shared" si="82"/>
        <v>裕南街街道</v>
      </c>
      <c r="D258" s="3" t="str">
        <f>"仰天湖社区"</f>
        <v>仰天湖社区</v>
      </c>
      <c r="E258" s="3" t="str">
        <f t="shared" si="62"/>
        <v>140</v>
      </c>
      <c r="F258" s="3" t="str">
        <f t="shared" si="77"/>
        <v>100</v>
      </c>
      <c r="G258" s="3" t="str">
        <f t="shared" si="83"/>
        <v>二级</v>
      </c>
    </row>
    <row r="259" customHeight="1" spans="1:7">
      <c r="A259" s="3" t="str">
        <f>"257"</f>
        <v>257</v>
      </c>
      <c r="B259" s="3" t="s">
        <v>139</v>
      </c>
      <c r="C259" s="3" t="str">
        <f>"新开铺街道"</f>
        <v>新开铺街道</v>
      </c>
      <c r="D259" s="3" t="str">
        <f>"新开铺社区"</f>
        <v>新开铺社区</v>
      </c>
      <c r="E259" s="3" t="str">
        <f t="shared" ref="E259:E322" si="84">"140"</f>
        <v>140</v>
      </c>
      <c r="F259" s="3" t="str">
        <f t="shared" si="77"/>
        <v>100</v>
      </c>
      <c r="G259" s="3" t="str">
        <f t="shared" si="83"/>
        <v>二级</v>
      </c>
    </row>
    <row r="260" customHeight="1" spans="1:7">
      <c r="A260" s="3" t="str">
        <f>"258"</f>
        <v>258</v>
      </c>
      <c r="B260" s="3" t="s">
        <v>238</v>
      </c>
      <c r="C260" s="3" t="str">
        <f t="shared" ref="C260:C265" si="85">"城南路街道"</f>
        <v>城南路街道</v>
      </c>
      <c r="D260" s="3" t="str">
        <f>"古道巷社区"</f>
        <v>古道巷社区</v>
      </c>
      <c r="E260" s="3" t="str">
        <f t="shared" si="84"/>
        <v>140</v>
      </c>
      <c r="F260" s="3" t="str">
        <f t="shared" si="77"/>
        <v>100</v>
      </c>
      <c r="G260" s="3" t="str">
        <f t="shared" si="83"/>
        <v>二级</v>
      </c>
    </row>
    <row r="261" customHeight="1" spans="1:7">
      <c r="A261" s="3" t="str">
        <f>"259"</f>
        <v>259</v>
      </c>
      <c r="B261" s="3" t="s">
        <v>239</v>
      </c>
      <c r="C261" s="3" t="str">
        <f>"暮云街道"</f>
        <v>暮云街道</v>
      </c>
      <c r="D261" s="3" t="str">
        <f>"卢浮社区"</f>
        <v>卢浮社区</v>
      </c>
      <c r="E261" s="3" t="str">
        <f t="shared" si="84"/>
        <v>140</v>
      </c>
      <c r="F261" s="3" t="str">
        <f t="shared" si="77"/>
        <v>100</v>
      </c>
      <c r="G261" s="3" t="str">
        <f>"一级"</f>
        <v>一级</v>
      </c>
    </row>
    <row r="262" customHeight="1" spans="1:7">
      <c r="A262" s="3" t="str">
        <f>"260"</f>
        <v>260</v>
      </c>
      <c r="B262" s="3" t="s">
        <v>240</v>
      </c>
      <c r="C262" s="3" t="str">
        <f>"暮云街道"</f>
        <v>暮云街道</v>
      </c>
      <c r="D262" s="3" t="str">
        <f>"丽发社区"</f>
        <v>丽发社区</v>
      </c>
      <c r="E262" s="3" t="str">
        <f t="shared" si="84"/>
        <v>140</v>
      </c>
      <c r="F262" s="3" t="str">
        <f t="shared" si="77"/>
        <v>100</v>
      </c>
      <c r="G262" s="3" t="str">
        <f t="shared" ref="G262:G264" si="86">"二级"</f>
        <v>二级</v>
      </c>
    </row>
    <row r="263" customHeight="1" spans="1:7">
      <c r="A263" s="3" t="str">
        <f>"261"</f>
        <v>261</v>
      </c>
      <c r="B263" s="3" t="s">
        <v>241</v>
      </c>
      <c r="C263" s="3" t="str">
        <f t="shared" ref="C263:C267" si="87">"坡子街街道"</f>
        <v>坡子街街道</v>
      </c>
      <c r="D263" s="3" t="str">
        <f>"八角亭社区"</f>
        <v>八角亭社区</v>
      </c>
      <c r="E263" s="3" t="str">
        <f t="shared" si="84"/>
        <v>140</v>
      </c>
      <c r="F263" s="3" t="str">
        <f t="shared" si="77"/>
        <v>100</v>
      </c>
      <c r="G263" s="3" t="str">
        <f t="shared" si="86"/>
        <v>二级</v>
      </c>
    </row>
    <row r="264" customHeight="1" spans="1:7">
      <c r="A264" s="3" t="str">
        <f>"262"</f>
        <v>262</v>
      </c>
      <c r="B264" s="3" t="s">
        <v>242</v>
      </c>
      <c r="C264" s="3" t="str">
        <f t="shared" si="85"/>
        <v>城南路街道</v>
      </c>
      <c r="D264" s="3" t="str">
        <f>"燕子岭社区"</f>
        <v>燕子岭社区</v>
      </c>
      <c r="E264" s="3" t="str">
        <f t="shared" si="84"/>
        <v>140</v>
      </c>
      <c r="F264" s="3" t="str">
        <f t="shared" si="77"/>
        <v>100</v>
      </c>
      <c r="G264" s="3" t="str">
        <f t="shared" si="86"/>
        <v>二级</v>
      </c>
    </row>
    <row r="265" customHeight="1" spans="1:7">
      <c r="A265" s="3" t="str">
        <f>"263"</f>
        <v>263</v>
      </c>
      <c r="B265" s="3" t="s">
        <v>243</v>
      </c>
      <c r="C265" s="3" t="str">
        <f t="shared" si="85"/>
        <v>城南路街道</v>
      </c>
      <c r="D265" s="3" t="str">
        <f>"白沙井社区"</f>
        <v>白沙井社区</v>
      </c>
      <c r="E265" s="3" t="str">
        <f t="shared" si="84"/>
        <v>140</v>
      </c>
      <c r="F265" s="3" t="str">
        <f t="shared" si="77"/>
        <v>100</v>
      </c>
      <c r="G265" s="3" t="str">
        <f>"一级"</f>
        <v>一级</v>
      </c>
    </row>
    <row r="266" customHeight="1" spans="1:7">
      <c r="A266" s="3" t="str">
        <f>"264"</f>
        <v>264</v>
      </c>
      <c r="B266" s="3" t="s">
        <v>26</v>
      </c>
      <c r="C266" s="3" t="str">
        <f t="shared" si="87"/>
        <v>坡子街街道</v>
      </c>
      <c r="D266" s="3" t="str">
        <f>"文庙坪社区"</f>
        <v>文庙坪社区</v>
      </c>
      <c r="E266" s="3" t="str">
        <f t="shared" si="84"/>
        <v>140</v>
      </c>
      <c r="F266" s="3" t="str">
        <f t="shared" si="77"/>
        <v>100</v>
      </c>
      <c r="G266" s="3" t="str">
        <f t="shared" ref="G266:G268" si="88">"二级"</f>
        <v>二级</v>
      </c>
    </row>
    <row r="267" customHeight="1" spans="1:7">
      <c r="A267" s="3" t="str">
        <f>"265"</f>
        <v>265</v>
      </c>
      <c r="B267" s="3" t="s">
        <v>244</v>
      </c>
      <c r="C267" s="3" t="str">
        <f t="shared" si="87"/>
        <v>坡子街街道</v>
      </c>
      <c r="D267" s="3" t="str">
        <f>"太平街社区"</f>
        <v>太平街社区</v>
      </c>
      <c r="E267" s="3" t="str">
        <f t="shared" si="84"/>
        <v>140</v>
      </c>
      <c r="F267" s="3" t="str">
        <f t="shared" si="77"/>
        <v>100</v>
      </c>
      <c r="G267" s="3" t="str">
        <f t="shared" si="88"/>
        <v>二级</v>
      </c>
    </row>
    <row r="268" customHeight="1" spans="1:7">
      <c r="A268" s="3" t="str">
        <f>"266"</f>
        <v>266</v>
      </c>
      <c r="B268" s="3" t="s">
        <v>245</v>
      </c>
      <c r="C268" s="3" t="str">
        <f t="shared" ref="C268:C272" si="89">"裕南街街道"</f>
        <v>裕南街街道</v>
      </c>
      <c r="D268" s="3" t="str">
        <f>"火把山社区"</f>
        <v>火把山社区</v>
      </c>
      <c r="E268" s="3" t="str">
        <f t="shared" si="84"/>
        <v>140</v>
      </c>
      <c r="F268" s="3" t="str">
        <f t="shared" si="77"/>
        <v>100</v>
      </c>
      <c r="G268" s="3" t="str">
        <f t="shared" si="88"/>
        <v>二级</v>
      </c>
    </row>
    <row r="269" customHeight="1" spans="1:7">
      <c r="A269" s="3" t="str">
        <f>"267"</f>
        <v>267</v>
      </c>
      <c r="B269" s="3" t="s">
        <v>246</v>
      </c>
      <c r="C269" s="3" t="str">
        <f>"青园街道"</f>
        <v>青园街道</v>
      </c>
      <c r="D269" s="3" t="str">
        <f>"青园社区"</f>
        <v>青园社区</v>
      </c>
      <c r="E269" s="3" t="str">
        <f t="shared" si="84"/>
        <v>140</v>
      </c>
      <c r="F269" s="3" t="str">
        <f t="shared" si="77"/>
        <v>100</v>
      </c>
      <c r="G269" s="3" t="str">
        <f t="shared" ref="G269:G274" si="90">"一级"</f>
        <v>一级</v>
      </c>
    </row>
    <row r="270" customHeight="1" spans="1:7">
      <c r="A270" s="3" t="str">
        <f>"268"</f>
        <v>268</v>
      </c>
      <c r="B270" s="3" t="s">
        <v>247</v>
      </c>
      <c r="C270" s="3" t="str">
        <f>"坡子街街道"</f>
        <v>坡子街街道</v>
      </c>
      <c r="D270" s="3" t="str">
        <f>"登仁桥社区"</f>
        <v>登仁桥社区</v>
      </c>
      <c r="E270" s="3" t="str">
        <f t="shared" si="84"/>
        <v>140</v>
      </c>
      <c r="F270" s="3" t="str">
        <f t="shared" si="77"/>
        <v>100</v>
      </c>
      <c r="G270" s="3" t="str">
        <f t="shared" ref="G270:G277" si="91">"二级"</f>
        <v>二级</v>
      </c>
    </row>
    <row r="271" customHeight="1" spans="1:7">
      <c r="A271" s="3" t="str">
        <f>"269"</f>
        <v>269</v>
      </c>
      <c r="B271" s="3" t="s">
        <v>248</v>
      </c>
      <c r="C271" s="3" t="str">
        <f t="shared" si="89"/>
        <v>裕南街街道</v>
      </c>
      <c r="D271" s="3" t="str">
        <f>"裕南街社区"</f>
        <v>裕南街社区</v>
      </c>
      <c r="E271" s="3" t="str">
        <f t="shared" si="84"/>
        <v>140</v>
      </c>
      <c r="F271" s="3" t="str">
        <f t="shared" si="77"/>
        <v>100</v>
      </c>
      <c r="G271" s="3" t="str">
        <f t="shared" si="91"/>
        <v>二级</v>
      </c>
    </row>
    <row r="272" customHeight="1" spans="1:7">
      <c r="A272" s="3" t="str">
        <f>"270"</f>
        <v>270</v>
      </c>
      <c r="B272" s="3" t="s">
        <v>249</v>
      </c>
      <c r="C272" s="3" t="str">
        <f t="shared" si="89"/>
        <v>裕南街街道</v>
      </c>
      <c r="D272" s="3" t="str">
        <f>"裕南街社区"</f>
        <v>裕南街社区</v>
      </c>
      <c r="E272" s="3" t="str">
        <f t="shared" si="84"/>
        <v>140</v>
      </c>
      <c r="F272" s="3" t="str">
        <f t="shared" si="77"/>
        <v>100</v>
      </c>
      <c r="G272" s="3" t="str">
        <f t="shared" si="90"/>
        <v>一级</v>
      </c>
    </row>
    <row r="273" customHeight="1" spans="1:7">
      <c r="A273" s="3" t="str">
        <f>"271"</f>
        <v>271</v>
      </c>
      <c r="B273" s="3" t="s">
        <v>250</v>
      </c>
      <c r="C273" s="3" t="str">
        <f>"金盆岭街道"</f>
        <v>金盆岭街道</v>
      </c>
      <c r="D273" s="3" t="str">
        <f>"狮子山社区"</f>
        <v>狮子山社区</v>
      </c>
      <c r="E273" s="3" t="str">
        <f t="shared" si="84"/>
        <v>140</v>
      </c>
      <c r="F273" s="3" t="str">
        <f t="shared" si="77"/>
        <v>100</v>
      </c>
      <c r="G273" s="3" t="str">
        <f t="shared" si="90"/>
        <v>一级</v>
      </c>
    </row>
    <row r="274" customHeight="1" spans="1:7">
      <c r="A274" s="3" t="str">
        <f>"272"</f>
        <v>272</v>
      </c>
      <c r="B274" s="3" t="s">
        <v>251</v>
      </c>
      <c r="C274" s="3" t="str">
        <f>"桂花坪街道"</f>
        <v>桂花坪街道</v>
      </c>
      <c r="D274" s="3" t="str">
        <f>"九峰苑社区"</f>
        <v>九峰苑社区</v>
      </c>
      <c r="E274" s="3" t="str">
        <f t="shared" si="84"/>
        <v>140</v>
      </c>
      <c r="F274" s="3" t="str">
        <f t="shared" si="77"/>
        <v>100</v>
      </c>
      <c r="G274" s="3" t="str">
        <f t="shared" si="90"/>
        <v>一级</v>
      </c>
    </row>
    <row r="275" customHeight="1" spans="1:7">
      <c r="A275" s="3" t="str">
        <f>"273"</f>
        <v>273</v>
      </c>
      <c r="B275" s="3" t="s">
        <v>252</v>
      </c>
      <c r="C275" s="3" t="str">
        <f>"裕南街街道"</f>
        <v>裕南街街道</v>
      </c>
      <c r="D275" s="3" t="str">
        <f>"仰天湖社区"</f>
        <v>仰天湖社区</v>
      </c>
      <c r="E275" s="3" t="str">
        <f t="shared" si="84"/>
        <v>140</v>
      </c>
      <c r="F275" s="3" t="str">
        <f t="shared" si="77"/>
        <v>100</v>
      </c>
      <c r="G275" s="3" t="str">
        <f t="shared" si="91"/>
        <v>二级</v>
      </c>
    </row>
    <row r="276" customHeight="1" spans="1:7">
      <c r="A276" s="3" t="str">
        <f>"274"</f>
        <v>274</v>
      </c>
      <c r="B276" s="3" t="s">
        <v>70</v>
      </c>
      <c r="C276" s="3" t="str">
        <f>"金盆岭街道"</f>
        <v>金盆岭街道</v>
      </c>
      <c r="D276" s="3" t="str">
        <f>"涂新社区"</f>
        <v>涂新社区</v>
      </c>
      <c r="E276" s="3" t="str">
        <f t="shared" si="84"/>
        <v>140</v>
      </c>
      <c r="F276" s="3" t="str">
        <f t="shared" si="77"/>
        <v>100</v>
      </c>
      <c r="G276" s="3" t="str">
        <f t="shared" si="91"/>
        <v>二级</v>
      </c>
    </row>
    <row r="277" customHeight="1" spans="1:7">
      <c r="A277" s="3" t="str">
        <f>"275"</f>
        <v>275</v>
      </c>
      <c r="B277" s="3" t="s">
        <v>253</v>
      </c>
      <c r="C277" s="3" t="str">
        <f>"新开铺街道"</f>
        <v>新开铺街道</v>
      </c>
      <c r="D277" s="3" t="str">
        <f>"新开铺社区"</f>
        <v>新开铺社区</v>
      </c>
      <c r="E277" s="3" t="str">
        <f t="shared" si="84"/>
        <v>140</v>
      </c>
      <c r="F277" s="3" t="str">
        <f t="shared" si="77"/>
        <v>100</v>
      </c>
      <c r="G277" s="3" t="str">
        <f t="shared" si="91"/>
        <v>二级</v>
      </c>
    </row>
    <row r="278" customHeight="1" spans="1:7">
      <c r="A278" s="3" t="str">
        <f>"276"</f>
        <v>276</v>
      </c>
      <c r="B278" s="3" t="s">
        <v>254</v>
      </c>
      <c r="C278" s="3" t="str">
        <f>"赤岭路街道"</f>
        <v>赤岭路街道</v>
      </c>
      <c r="D278" s="3" t="str">
        <f>"新丰社区"</f>
        <v>新丰社区</v>
      </c>
      <c r="E278" s="3" t="str">
        <f t="shared" si="84"/>
        <v>140</v>
      </c>
      <c r="F278" s="3" t="str">
        <f t="shared" si="77"/>
        <v>100</v>
      </c>
      <c r="G278" s="3" t="str">
        <f t="shared" ref="G278:G282" si="92">"一级"</f>
        <v>一级</v>
      </c>
    </row>
    <row r="279" customHeight="1" spans="1:7">
      <c r="A279" s="3" t="str">
        <f>"277"</f>
        <v>277</v>
      </c>
      <c r="B279" s="3" t="s">
        <v>255</v>
      </c>
      <c r="C279" s="3" t="str">
        <f>"裕南街街道"</f>
        <v>裕南街街道</v>
      </c>
      <c r="D279" s="3" t="str">
        <f>"石子冲社区"</f>
        <v>石子冲社区</v>
      </c>
      <c r="E279" s="3" t="str">
        <f t="shared" si="84"/>
        <v>140</v>
      </c>
      <c r="F279" s="3" t="str">
        <f t="shared" si="77"/>
        <v>100</v>
      </c>
      <c r="G279" s="3" t="str">
        <f t="shared" ref="G279:G283" si="93">"二级"</f>
        <v>二级</v>
      </c>
    </row>
    <row r="280" customHeight="1" spans="1:7">
      <c r="A280" s="3" t="str">
        <f>"278"</f>
        <v>278</v>
      </c>
      <c r="B280" s="3" t="s">
        <v>256</v>
      </c>
      <c r="C280" s="3" t="str">
        <f>"文源街道"</f>
        <v>文源街道</v>
      </c>
      <c r="D280" s="3" t="str">
        <f>"文源社区"</f>
        <v>文源社区</v>
      </c>
      <c r="E280" s="3" t="str">
        <f t="shared" si="84"/>
        <v>140</v>
      </c>
      <c r="F280" s="3" t="str">
        <f t="shared" si="77"/>
        <v>100</v>
      </c>
      <c r="G280" s="3" t="str">
        <f t="shared" si="93"/>
        <v>二级</v>
      </c>
    </row>
    <row r="281" customHeight="1" spans="1:7">
      <c r="A281" s="3" t="str">
        <f>"279"</f>
        <v>279</v>
      </c>
      <c r="B281" s="3" t="s">
        <v>76</v>
      </c>
      <c r="C281" s="3" t="str">
        <f t="shared" ref="C281:C286" si="94">"金盆岭街道"</f>
        <v>金盆岭街道</v>
      </c>
      <c r="D281" s="3" t="str">
        <f>"赤岭路社区"</f>
        <v>赤岭路社区</v>
      </c>
      <c r="E281" s="3" t="str">
        <f t="shared" si="84"/>
        <v>140</v>
      </c>
      <c r="F281" s="3" t="str">
        <f t="shared" si="77"/>
        <v>100</v>
      </c>
      <c r="G281" s="3" t="str">
        <f t="shared" si="92"/>
        <v>一级</v>
      </c>
    </row>
    <row r="282" customHeight="1" spans="1:7">
      <c r="A282" s="3" t="str">
        <f>"280"</f>
        <v>280</v>
      </c>
      <c r="B282" s="3" t="s">
        <v>41</v>
      </c>
      <c r="C282" s="3" t="str">
        <f>"城南路街道"</f>
        <v>城南路街道</v>
      </c>
      <c r="D282" s="3" t="str">
        <f>"熙台岭社区"</f>
        <v>熙台岭社区</v>
      </c>
      <c r="E282" s="3" t="str">
        <f t="shared" si="84"/>
        <v>140</v>
      </c>
      <c r="F282" s="3" t="str">
        <f t="shared" si="77"/>
        <v>100</v>
      </c>
      <c r="G282" s="3" t="str">
        <f t="shared" si="92"/>
        <v>一级</v>
      </c>
    </row>
    <row r="283" customHeight="1" spans="1:7">
      <c r="A283" s="3" t="str">
        <f>"281"</f>
        <v>281</v>
      </c>
      <c r="B283" s="3" t="s">
        <v>257</v>
      </c>
      <c r="C283" s="3" t="str">
        <f>"新开铺街道"</f>
        <v>新开铺街道</v>
      </c>
      <c r="D283" s="3" t="str">
        <f>"新开铺社区"</f>
        <v>新开铺社区</v>
      </c>
      <c r="E283" s="3" t="str">
        <f t="shared" si="84"/>
        <v>140</v>
      </c>
      <c r="F283" s="3" t="str">
        <f t="shared" si="77"/>
        <v>100</v>
      </c>
      <c r="G283" s="3" t="str">
        <f t="shared" si="93"/>
        <v>二级</v>
      </c>
    </row>
    <row r="284" customHeight="1" spans="1:7">
      <c r="A284" s="3" t="str">
        <f>"282"</f>
        <v>282</v>
      </c>
      <c r="B284" s="3" t="s">
        <v>258</v>
      </c>
      <c r="C284" s="3" t="str">
        <f>"坡子街街道"</f>
        <v>坡子街街道</v>
      </c>
      <c r="D284" s="3" t="str">
        <f>"西牌楼社区"</f>
        <v>西牌楼社区</v>
      </c>
      <c r="E284" s="3" t="str">
        <f t="shared" si="84"/>
        <v>140</v>
      </c>
      <c r="F284" s="3" t="str">
        <f t="shared" si="77"/>
        <v>100</v>
      </c>
      <c r="G284" s="3" t="str">
        <f>"一级"</f>
        <v>一级</v>
      </c>
    </row>
    <row r="285" customHeight="1" spans="1:7">
      <c r="A285" s="3" t="str">
        <f>"283"</f>
        <v>283</v>
      </c>
      <c r="B285" s="3" t="s">
        <v>259</v>
      </c>
      <c r="C285" s="3" t="str">
        <f t="shared" si="94"/>
        <v>金盆岭街道</v>
      </c>
      <c r="D285" s="3" t="str">
        <f>"黄土岭社区"</f>
        <v>黄土岭社区</v>
      </c>
      <c r="E285" s="3" t="str">
        <f t="shared" si="84"/>
        <v>140</v>
      </c>
      <c r="F285" s="3" t="str">
        <f t="shared" si="77"/>
        <v>100</v>
      </c>
      <c r="G285" s="3" t="str">
        <f t="shared" ref="G285:G291" si="95">"二级"</f>
        <v>二级</v>
      </c>
    </row>
    <row r="286" customHeight="1" spans="1:7">
      <c r="A286" s="3" t="str">
        <f>"284"</f>
        <v>284</v>
      </c>
      <c r="B286" s="3" t="s">
        <v>260</v>
      </c>
      <c r="C286" s="3" t="str">
        <f t="shared" si="94"/>
        <v>金盆岭街道</v>
      </c>
      <c r="D286" s="3" t="str">
        <f>"赤岭路社区"</f>
        <v>赤岭路社区</v>
      </c>
      <c r="E286" s="3" t="str">
        <f t="shared" si="84"/>
        <v>140</v>
      </c>
      <c r="F286" s="3" t="str">
        <f t="shared" si="77"/>
        <v>100</v>
      </c>
      <c r="G286" s="3" t="str">
        <f t="shared" si="95"/>
        <v>二级</v>
      </c>
    </row>
    <row r="287" customHeight="1" spans="1:7">
      <c r="A287" s="3" t="str">
        <f>"285"</f>
        <v>285</v>
      </c>
      <c r="B287" s="3" t="s">
        <v>261</v>
      </c>
      <c r="C287" s="3" t="str">
        <f t="shared" ref="C287:C293" si="96">"裕南街街道"</f>
        <v>裕南街街道</v>
      </c>
      <c r="D287" s="3" t="str">
        <f>"石子冲社区"</f>
        <v>石子冲社区</v>
      </c>
      <c r="E287" s="3" t="str">
        <f t="shared" si="84"/>
        <v>140</v>
      </c>
      <c r="F287" s="3" t="str">
        <f t="shared" si="77"/>
        <v>100</v>
      </c>
      <c r="G287" s="3" t="str">
        <f t="shared" si="95"/>
        <v>二级</v>
      </c>
    </row>
    <row r="288" customHeight="1" spans="1:7">
      <c r="A288" s="3" t="str">
        <f>"286"</f>
        <v>286</v>
      </c>
      <c r="B288" s="3" t="s">
        <v>262</v>
      </c>
      <c r="C288" s="3" t="str">
        <f>"城南路街道"</f>
        <v>城南路街道</v>
      </c>
      <c r="D288" s="3" t="str">
        <f>"吴家坪社区"</f>
        <v>吴家坪社区</v>
      </c>
      <c r="E288" s="3" t="str">
        <f t="shared" si="84"/>
        <v>140</v>
      </c>
      <c r="F288" s="3" t="str">
        <f t="shared" si="77"/>
        <v>100</v>
      </c>
      <c r="G288" s="3" t="str">
        <f t="shared" si="95"/>
        <v>二级</v>
      </c>
    </row>
    <row r="289" customHeight="1" spans="1:7">
      <c r="A289" s="3" t="str">
        <f>"287"</f>
        <v>287</v>
      </c>
      <c r="B289" s="3" t="s">
        <v>263</v>
      </c>
      <c r="C289" s="3" t="str">
        <f>"赤岭路街道"</f>
        <v>赤岭路街道</v>
      </c>
      <c r="D289" s="3" t="str">
        <f>"新丰社区"</f>
        <v>新丰社区</v>
      </c>
      <c r="E289" s="3" t="str">
        <f t="shared" si="84"/>
        <v>140</v>
      </c>
      <c r="F289" s="3" t="str">
        <f t="shared" si="77"/>
        <v>100</v>
      </c>
      <c r="G289" s="3" t="str">
        <f t="shared" si="95"/>
        <v>二级</v>
      </c>
    </row>
    <row r="290" customHeight="1" spans="1:7">
      <c r="A290" s="3" t="str">
        <f>"288"</f>
        <v>288</v>
      </c>
      <c r="B290" s="3" t="s">
        <v>264</v>
      </c>
      <c r="C290" s="3" t="str">
        <f t="shared" si="96"/>
        <v>裕南街街道</v>
      </c>
      <c r="D290" s="3" t="str">
        <f>"火把山社区"</f>
        <v>火把山社区</v>
      </c>
      <c r="E290" s="3" t="str">
        <f t="shared" si="84"/>
        <v>140</v>
      </c>
      <c r="F290" s="3" t="str">
        <f t="shared" si="77"/>
        <v>100</v>
      </c>
      <c r="G290" s="3" t="str">
        <f t="shared" si="95"/>
        <v>二级</v>
      </c>
    </row>
    <row r="291" customHeight="1" spans="1:7">
      <c r="A291" s="3" t="str">
        <f>"289"</f>
        <v>289</v>
      </c>
      <c r="B291" s="3" t="s">
        <v>265</v>
      </c>
      <c r="C291" s="3" t="str">
        <f>"城南路街道"</f>
        <v>城南路街道</v>
      </c>
      <c r="D291" s="3" t="str">
        <f>"古道巷社区"</f>
        <v>古道巷社区</v>
      </c>
      <c r="E291" s="3" t="str">
        <f t="shared" si="84"/>
        <v>140</v>
      </c>
      <c r="F291" s="3" t="str">
        <f t="shared" si="77"/>
        <v>100</v>
      </c>
      <c r="G291" s="3" t="str">
        <f t="shared" si="95"/>
        <v>二级</v>
      </c>
    </row>
    <row r="292" customHeight="1" spans="1:7">
      <c r="A292" s="3" t="str">
        <f>"290"</f>
        <v>290</v>
      </c>
      <c r="B292" s="3" t="s">
        <v>76</v>
      </c>
      <c r="C292" s="3" t="str">
        <f t="shared" si="96"/>
        <v>裕南街街道</v>
      </c>
      <c r="D292" s="3" t="str">
        <f>"南站社区"</f>
        <v>南站社区</v>
      </c>
      <c r="E292" s="3" t="str">
        <f t="shared" si="84"/>
        <v>140</v>
      </c>
      <c r="F292" s="3" t="str">
        <f t="shared" si="77"/>
        <v>100</v>
      </c>
      <c r="G292" s="3" t="str">
        <f t="shared" ref="G292:G298" si="97">"一级"</f>
        <v>一级</v>
      </c>
    </row>
    <row r="293" customHeight="1" spans="1:7">
      <c r="A293" s="3" t="str">
        <f>"291"</f>
        <v>291</v>
      </c>
      <c r="B293" s="3" t="s">
        <v>70</v>
      </c>
      <c r="C293" s="3" t="str">
        <f t="shared" si="96"/>
        <v>裕南街街道</v>
      </c>
      <c r="D293" s="3" t="str">
        <f>"东瓜山社区"</f>
        <v>东瓜山社区</v>
      </c>
      <c r="E293" s="3" t="str">
        <f t="shared" si="84"/>
        <v>140</v>
      </c>
      <c r="F293" s="3" t="str">
        <f t="shared" si="77"/>
        <v>100</v>
      </c>
      <c r="G293" s="3" t="str">
        <f t="shared" ref="G293:G296" si="98">"二级"</f>
        <v>二级</v>
      </c>
    </row>
    <row r="294" customHeight="1" spans="1:7">
      <c r="A294" s="3" t="str">
        <f>"292"</f>
        <v>292</v>
      </c>
      <c r="B294" s="3" t="s">
        <v>266</v>
      </c>
      <c r="C294" s="3" t="str">
        <f>"坡子街街道"</f>
        <v>坡子街街道</v>
      </c>
      <c r="D294" s="3" t="str">
        <f>"坡子街社区"</f>
        <v>坡子街社区</v>
      </c>
      <c r="E294" s="3" t="str">
        <f t="shared" si="84"/>
        <v>140</v>
      </c>
      <c r="F294" s="3" t="str">
        <f t="shared" si="77"/>
        <v>100</v>
      </c>
      <c r="G294" s="3" t="str">
        <f t="shared" si="97"/>
        <v>一级</v>
      </c>
    </row>
    <row r="295" customHeight="1" spans="1:7">
      <c r="A295" s="3" t="str">
        <f>"293"</f>
        <v>293</v>
      </c>
      <c r="B295" s="3" t="s">
        <v>267</v>
      </c>
      <c r="C295" s="3" t="str">
        <f>"城南路街道"</f>
        <v>城南路街道</v>
      </c>
      <c r="D295" s="3" t="str">
        <f>"工农桥社区"</f>
        <v>工农桥社区</v>
      </c>
      <c r="E295" s="3" t="str">
        <f t="shared" si="84"/>
        <v>140</v>
      </c>
      <c r="F295" s="3" t="str">
        <f t="shared" si="77"/>
        <v>100</v>
      </c>
      <c r="G295" s="3" t="str">
        <f t="shared" si="98"/>
        <v>二级</v>
      </c>
    </row>
    <row r="296" customHeight="1" spans="1:7">
      <c r="A296" s="3" t="str">
        <f>"294"</f>
        <v>294</v>
      </c>
      <c r="B296" s="3" t="s">
        <v>268</v>
      </c>
      <c r="C296" s="3" t="str">
        <f>"新开铺街道"</f>
        <v>新开铺街道</v>
      </c>
      <c r="D296" s="3" t="str">
        <f>"豹子岭社区"</f>
        <v>豹子岭社区</v>
      </c>
      <c r="E296" s="3" t="str">
        <f t="shared" si="84"/>
        <v>140</v>
      </c>
      <c r="F296" s="3" t="str">
        <f t="shared" si="77"/>
        <v>100</v>
      </c>
      <c r="G296" s="3" t="str">
        <f t="shared" si="98"/>
        <v>二级</v>
      </c>
    </row>
    <row r="297" customHeight="1" spans="1:7">
      <c r="A297" s="3" t="str">
        <f>"295"</f>
        <v>295</v>
      </c>
      <c r="B297" s="3" t="s">
        <v>269</v>
      </c>
      <c r="C297" s="3" t="str">
        <f>"金盆岭街道"</f>
        <v>金盆岭街道</v>
      </c>
      <c r="D297" s="3" t="str">
        <f>"赤岭路社区"</f>
        <v>赤岭路社区</v>
      </c>
      <c r="E297" s="3" t="str">
        <f t="shared" si="84"/>
        <v>140</v>
      </c>
      <c r="F297" s="3" t="str">
        <f t="shared" si="77"/>
        <v>100</v>
      </c>
      <c r="G297" s="3" t="str">
        <f t="shared" si="97"/>
        <v>一级</v>
      </c>
    </row>
    <row r="298" customHeight="1" spans="1:7">
      <c r="A298" s="3" t="str">
        <f>"296"</f>
        <v>296</v>
      </c>
      <c r="B298" s="3" t="s">
        <v>270</v>
      </c>
      <c r="C298" s="3" t="str">
        <f>"坡子街街道"</f>
        <v>坡子街街道</v>
      </c>
      <c r="D298" s="3" t="str">
        <f>"青山祠社区"</f>
        <v>青山祠社区</v>
      </c>
      <c r="E298" s="3" t="str">
        <f t="shared" si="84"/>
        <v>140</v>
      </c>
      <c r="F298" s="3" t="str">
        <f t="shared" si="77"/>
        <v>100</v>
      </c>
      <c r="G298" s="3" t="str">
        <f t="shared" si="97"/>
        <v>一级</v>
      </c>
    </row>
    <row r="299" customHeight="1" spans="1:7">
      <c r="A299" s="3" t="str">
        <f>"297"</f>
        <v>297</v>
      </c>
      <c r="B299" s="3" t="s">
        <v>271</v>
      </c>
      <c r="C299" s="3" t="str">
        <f>"裕南街街道"</f>
        <v>裕南街街道</v>
      </c>
      <c r="D299" s="3" t="str">
        <f>"杏花园社区"</f>
        <v>杏花园社区</v>
      </c>
      <c r="E299" s="3" t="str">
        <f t="shared" si="84"/>
        <v>140</v>
      </c>
      <c r="F299" s="3" t="str">
        <f t="shared" si="77"/>
        <v>100</v>
      </c>
      <c r="G299" s="3" t="str">
        <f t="shared" ref="G299:G316" si="99">"二级"</f>
        <v>二级</v>
      </c>
    </row>
    <row r="300" customHeight="1" spans="1:7">
      <c r="A300" s="3" t="str">
        <f>"298"</f>
        <v>298</v>
      </c>
      <c r="B300" s="3" t="s">
        <v>272</v>
      </c>
      <c r="C300" s="3" t="str">
        <f>"坡子街街道"</f>
        <v>坡子街街道</v>
      </c>
      <c r="D300" s="3" t="str">
        <f>"文庙坪社区"</f>
        <v>文庙坪社区</v>
      </c>
      <c r="E300" s="3" t="str">
        <f t="shared" si="84"/>
        <v>140</v>
      </c>
      <c r="F300" s="3" t="str">
        <f t="shared" si="77"/>
        <v>100</v>
      </c>
      <c r="G300" s="3" t="str">
        <f>"一级"</f>
        <v>一级</v>
      </c>
    </row>
    <row r="301" customHeight="1" spans="1:7">
      <c r="A301" s="3" t="str">
        <f>"299"</f>
        <v>299</v>
      </c>
      <c r="B301" s="3" t="s">
        <v>273</v>
      </c>
      <c r="C301" s="3" t="str">
        <f>"赤岭路街道"</f>
        <v>赤岭路街道</v>
      </c>
      <c r="D301" s="3" t="str">
        <f>"南大桥社区"</f>
        <v>南大桥社区</v>
      </c>
      <c r="E301" s="3" t="str">
        <f t="shared" si="84"/>
        <v>140</v>
      </c>
      <c r="F301" s="3" t="str">
        <f t="shared" ref="F301:F364" si="100">"100"</f>
        <v>100</v>
      </c>
      <c r="G301" s="3" t="str">
        <f t="shared" si="99"/>
        <v>二级</v>
      </c>
    </row>
    <row r="302" customHeight="1" spans="1:7">
      <c r="A302" s="3" t="str">
        <f>"300"</f>
        <v>300</v>
      </c>
      <c r="B302" s="3" t="s">
        <v>274</v>
      </c>
      <c r="C302" s="3" t="str">
        <f>"赤岭路街道"</f>
        <v>赤岭路街道</v>
      </c>
      <c r="D302" s="3" t="str">
        <f>"新丰社区"</f>
        <v>新丰社区</v>
      </c>
      <c r="E302" s="3" t="str">
        <f t="shared" si="84"/>
        <v>140</v>
      </c>
      <c r="F302" s="3" t="str">
        <f t="shared" si="100"/>
        <v>100</v>
      </c>
      <c r="G302" s="3" t="str">
        <f t="shared" si="99"/>
        <v>二级</v>
      </c>
    </row>
    <row r="303" customHeight="1" spans="1:7">
      <c r="A303" s="3" t="str">
        <f>"301"</f>
        <v>301</v>
      </c>
      <c r="B303" s="3" t="s">
        <v>275</v>
      </c>
      <c r="C303" s="3" t="str">
        <f>"暮云街道"</f>
        <v>暮云街道</v>
      </c>
      <c r="D303" s="3" t="str">
        <f>"华月湖社区"</f>
        <v>华月湖社区</v>
      </c>
      <c r="E303" s="3" t="str">
        <f t="shared" si="84"/>
        <v>140</v>
      </c>
      <c r="F303" s="3" t="str">
        <f t="shared" si="100"/>
        <v>100</v>
      </c>
      <c r="G303" s="3" t="str">
        <f t="shared" si="99"/>
        <v>二级</v>
      </c>
    </row>
    <row r="304" customHeight="1" spans="1:7">
      <c r="A304" s="3" t="str">
        <f>"302"</f>
        <v>302</v>
      </c>
      <c r="B304" s="3" t="s">
        <v>276</v>
      </c>
      <c r="C304" s="3" t="str">
        <f>"坡子街街道"</f>
        <v>坡子街街道</v>
      </c>
      <c r="D304" s="3" t="str">
        <f>"西湖社区"</f>
        <v>西湖社区</v>
      </c>
      <c r="E304" s="3" t="str">
        <f t="shared" si="84"/>
        <v>140</v>
      </c>
      <c r="F304" s="3" t="str">
        <f t="shared" si="100"/>
        <v>100</v>
      </c>
      <c r="G304" s="3" t="str">
        <f t="shared" si="99"/>
        <v>二级</v>
      </c>
    </row>
    <row r="305" customHeight="1" spans="1:7">
      <c r="A305" s="3" t="str">
        <f>"303"</f>
        <v>303</v>
      </c>
      <c r="B305" s="3" t="s">
        <v>277</v>
      </c>
      <c r="C305" s="3" t="str">
        <f>"文源街道"</f>
        <v>文源街道</v>
      </c>
      <c r="D305" s="3" t="str">
        <f>"天鸿社区"</f>
        <v>天鸿社区</v>
      </c>
      <c r="E305" s="3" t="str">
        <f t="shared" si="84"/>
        <v>140</v>
      </c>
      <c r="F305" s="3" t="str">
        <f t="shared" si="100"/>
        <v>100</v>
      </c>
      <c r="G305" s="3" t="str">
        <f t="shared" si="99"/>
        <v>二级</v>
      </c>
    </row>
    <row r="306" customHeight="1" spans="1:7">
      <c r="A306" s="3" t="str">
        <f>"304"</f>
        <v>304</v>
      </c>
      <c r="B306" s="3" t="s">
        <v>267</v>
      </c>
      <c r="C306" s="3" t="str">
        <f>"金盆岭街道"</f>
        <v>金盆岭街道</v>
      </c>
      <c r="D306" s="3" t="str">
        <f>"狮子山社区"</f>
        <v>狮子山社区</v>
      </c>
      <c r="E306" s="3" t="str">
        <f t="shared" si="84"/>
        <v>140</v>
      </c>
      <c r="F306" s="3" t="str">
        <f t="shared" si="100"/>
        <v>100</v>
      </c>
      <c r="G306" s="3" t="str">
        <f t="shared" si="99"/>
        <v>二级</v>
      </c>
    </row>
    <row r="307" customHeight="1" spans="1:7">
      <c r="A307" s="3" t="str">
        <f>"305"</f>
        <v>305</v>
      </c>
      <c r="B307" s="3" t="s">
        <v>278</v>
      </c>
      <c r="C307" s="3" t="str">
        <f>"新开铺街道"</f>
        <v>新开铺街道</v>
      </c>
      <c r="D307" s="3" t="str">
        <f>"豹子岭社区"</f>
        <v>豹子岭社区</v>
      </c>
      <c r="E307" s="3" t="str">
        <f t="shared" si="84"/>
        <v>140</v>
      </c>
      <c r="F307" s="3" t="str">
        <f t="shared" si="100"/>
        <v>100</v>
      </c>
      <c r="G307" s="3" t="str">
        <f t="shared" si="99"/>
        <v>二级</v>
      </c>
    </row>
    <row r="308" customHeight="1" spans="1:7">
      <c r="A308" s="3" t="str">
        <f>"306"</f>
        <v>306</v>
      </c>
      <c r="B308" s="3" t="s">
        <v>279</v>
      </c>
      <c r="C308" s="3" t="str">
        <f>"坡子街街道"</f>
        <v>坡子街街道</v>
      </c>
      <c r="D308" s="3" t="str">
        <f>"西湖社区"</f>
        <v>西湖社区</v>
      </c>
      <c r="E308" s="3" t="str">
        <f t="shared" si="84"/>
        <v>140</v>
      </c>
      <c r="F308" s="3" t="str">
        <f t="shared" si="100"/>
        <v>100</v>
      </c>
      <c r="G308" s="3" t="str">
        <f t="shared" si="99"/>
        <v>二级</v>
      </c>
    </row>
    <row r="309" customHeight="1" spans="1:7">
      <c r="A309" s="3" t="str">
        <f>"307"</f>
        <v>307</v>
      </c>
      <c r="B309" s="3" t="s">
        <v>280</v>
      </c>
      <c r="C309" s="3" t="str">
        <f>"裕南街街道"</f>
        <v>裕南街街道</v>
      </c>
      <c r="D309" s="3" t="str">
        <f>"长坡社区"</f>
        <v>长坡社区</v>
      </c>
      <c r="E309" s="3" t="str">
        <f t="shared" si="84"/>
        <v>140</v>
      </c>
      <c r="F309" s="3" t="str">
        <f t="shared" si="100"/>
        <v>100</v>
      </c>
      <c r="G309" s="3" t="str">
        <f t="shared" si="99"/>
        <v>二级</v>
      </c>
    </row>
    <row r="310" customHeight="1" spans="1:7">
      <c r="A310" s="3" t="str">
        <f>"308"</f>
        <v>308</v>
      </c>
      <c r="B310" s="3" t="s">
        <v>281</v>
      </c>
      <c r="C310" s="3" t="str">
        <f>"金盆岭街道"</f>
        <v>金盆岭街道</v>
      </c>
      <c r="D310" s="3" t="str">
        <f>"夏家冲社区"</f>
        <v>夏家冲社区</v>
      </c>
      <c r="E310" s="3" t="str">
        <f t="shared" si="84"/>
        <v>140</v>
      </c>
      <c r="F310" s="3" t="str">
        <f t="shared" si="100"/>
        <v>100</v>
      </c>
      <c r="G310" s="3" t="str">
        <f t="shared" si="99"/>
        <v>二级</v>
      </c>
    </row>
    <row r="311" customHeight="1" spans="1:7">
      <c r="A311" s="3" t="str">
        <f>"309"</f>
        <v>309</v>
      </c>
      <c r="B311" s="3" t="s">
        <v>70</v>
      </c>
      <c r="C311" s="3" t="str">
        <f>"坡子街街道"</f>
        <v>坡子街街道</v>
      </c>
      <c r="D311" s="3" t="str">
        <f>"文庙坪社区"</f>
        <v>文庙坪社区</v>
      </c>
      <c r="E311" s="3" t="str">
        <f t="shared" si="84"/>
        <v>140</v>
      </c>
      <c r="F311" s="3" t="str">
        <f t="shared" si="100"/>
        <v>100</v>
      </c>
      <c r="G311" s="3" t="str">
        <f t="shared" si="99"/>
        <v>二级</v>
      </c>
    </row>
    <row r="312" customHeight="1" spans="1:7">
      <c r="A312" s="3" t="str">
        <f>"310"</f>
        <v>310</v>
      </c>
      <c r="B312" s="3" t="s">
        <v>282</v>
      </c>
      <c r="C312" s="3" t="str">
        <f>"青园街道"</f>
        <v>青园街道</v>
      </c>
      <c r="D312" s="3" t="str">
        <f>"井湾子社区"</f>
        <v>井湾子社区</v>
      </c>
      <c r="E312" s="3" t="str">
        <f t="shared" si="84"/>
        <v>140</v>
      </c>
      <c r="F312" s="3" t="str">
        <f t="shared" si="100"/>
        <v>100</v>
      </c>
      <c r="G312" s="3" t="str">
        <f t="shared" si="99"/>
        <v>二级</v>
      </c>
    </row>
    <row r="313" customHeight="1" spans="1:7">
      <c r="A313" s="3" t="str">
        <f>"311"</f>
        <v>311</v>
      </c>
      <c r="B313" s="3" t="s">
        <v>283</v>
      </c>
      <c r="C313" s="3" t="str">
        <f>"金盆岭街道"</f>
        <v>金盆岭街道</v>
      </c>
      <c r="D313" s="3" t="str">
        <f>"天剑社区"</f>
        <v>天剑社区</v>
      </c>
      <c r="E313" s="3" t="str">
        <f t="shared" si="84"/>
        <v>140</v>
      </c>
      <c r="F313" s="3" t="str">
        <f t="shared" si="100"/>
        <v>100</v>
      </c>
      <c r="G313" s="3" t="str">
        <f t="shared" si="99"/>
        <v>二级</v>
      </c>
    </row>
    <row r="314" customHeight="1" spans="1:7">
      <c r="A314" s="3" t="str">
        <f>"312"</f>
        <v>312</v>
      </c>
      <c r="B314" s="3" t="s">
        <v>284</v>
      </c>
      <c r="C314" s="3" t="str">
        <f>"新开铺街道"</f>
        <v>新开铺街道</v>
      </c>
      <c r="D314" s="3" t="str">
        <f>"豹子岭社区"</f>
        <v>豹子岭社区</v>
      </c>
      <c r="E314" s="3" t="str">
        <f t="shared" si="84"/>
        <v>140</v>
      </c>
      <c r="F314" s="3" t="str">
        <f t="shared" si="100"/>
        <v>100</v>
      </c>
      <c r="G314" s="3" t="str">
        <f t="shared" si="99"/>
        <v>二级</v>
      </c>
    </row>
    <row r="315" customHeight="1" spans="1:7">
      <c r="A315" s="3" t="str">
        <f>"313"</f>
        <v>313</v>
      </c>
      <c r="B315" s="3" t="s">
        <v>285</v>
      </c>
      <c r="C315" s="3" t="str">
        <f>"青园街道"</f>
        <v>青园街道</v>
      </c>
      <c r="D315" s="3" t="str">
        <f>"井湾子社区"</f>
        <v>井湾子社区</v>
      </c>
      <c r="E315" s="3" t="str">
        <f t="shared" si="84"/>
        <v>140</v>
      </c>
      <c r="F315" s="3" t="str">
        <f t="shared" si="100"/>
        <v>100</v>
      </c>
      <c r="G315" s="3" t="str">
        <f t="shared" si="99"/>
        <v>二级</v>
      </c>
    </row>
    <row r="316" customHeight="1" spans="1:7">
      <c r="A316" s="3" t="str">
        <f>"314"</f>
        <v>314</v>
      </c>
      <c r="B316" s="3" t="s">
        <v>286</v>
      </c>
      <c r="C316" s="3" t="str">
        <f>"新开铺街道"</f>
        <v>新开铺街道</v>
      </c>
      <c r="D316" s="3" t="str">
        <f>"豹子岭社区"</f>
        <v>豹子岭社区</v>
      </c>
      <c r="E316" s="3" t="str">
        <f t="shared" si="84"/>
        <v>140</v>
      </c>
      <c r="F316" s="3" t="str">
        <f t="shared" si="100"/>
        <v>100</v>
      </c>
      <c r="G316" s="3" t="str">
        <f t="shared" si="99"/>
        <v>二级</v>
      </c>
    </row>
    <row r="317" customHeight="1" spans="1:7">
      <c r="A317" s="3" t="str">
        <f>"315"</f>
        <v>315</v>
      </c>
      <c r="B317" s="3" t="s">
        <v>287</v>
      </c>
      <c r="C317" s="3" t="str">
        <f>"城南路街道"</f>
        <v>城南路街道</v>
      </c>
      <c r="D317" s="3" t="str">
        <f>"熙台岭社区"</f>
        <v>熙台岭社区</v>
      </c>
      <c r="E317" s="3" t="str">
        <f t="shared" si="84"/>
        <v>140</v>
      </c>
      <c r="F317" s="3" t="str">
        <f t="shared" si="100"/>
        <v>100</v>
      </c>
      <c r="G317" s="3" t="str">
        <f t="shared" ref="G317:G322" si="101">"一级"</f>
        <v>一级</v>
      </c>
    </row>
    <row r="318" customHeight="1" spans="1:7">
      <c r="A318" s="3" t="str">
        <f>"316"</f>
        <v>316</v>
      </c>
      <c r="B318" s="3" t="s">
        <v>288</v>
      </c>
      <c r="C318" s="3" t="str">
        <f>"裕南街街道"</f>
        <v>裕南街街道</v>
      </c>
      <c r="D318" s="3" t="str">
        <f>"碧沙湖社区"</f>
        <v>碧沙湖社区</v>
      </c>
      <c r="E318" s="3" t="str">
        <f t="shared" si="84"/>
        <v>140</v>
      </c>
      <c r="F318" s="3" t="str">
        <f t="shared" si="100"/>
        <v>100</v>
      </c>
      <c r="G318" s="3" t="str">
        <f t="shared" ref="G318:G326" si="102">"二级"</f>
        <v>二级</v>
      </c>
    </row>
    <row r="319" customHeight="1" spans="1:7">
      <c r="A319" s="3" t="str">
        <f>"317"</f>
        <v>317</v>
      </c>
      <c r="B319" s="3" t="s">
        <v>289</v>
      </c>
      <c r="C319" s="3" t="str">
        <f>"青园街道"</f>
        <v>青园街道</v>
      </c>
      <c r="D319" s="3" t="str">
        <f>"友谊社区"</f>
        <v>友谊社区</v>
      </c>
      <c r="E319" s="3" t="str">
        <f t="shared" si="84"/>
        <v>140</v>
      </c>
      <c r="F319" s="3" t="str">
        <f t="shared" si="100"/>
        <v>100</v>
      </c>
      <c r="G319" s="3" t="str">
        <f t="shared" si="102"/>
        <v>二级</v>
      </c>
    </row>
    <row r="320" customHeight="1" spans="1:7">
      <c r="A320" s="3" t="str">
        <f>"318"</f>
        <v>318</v>
      </c>
      <c r="B320" s="3" t="s">
        <v>290</v>
      </c>
      <c r="C320" s="3" t="str">
        <f>"新开铺街道"</f>
        <v>新开铺街道</v>
      </c>
      <c r="D320" s="3" t="str">
        <f>"新开铺社区"</f>
        <v>新开铺社区</v>
      </c>
      <c r="E320" s="3" t="str">
        <f t="shared" si="84"/>
        <v>140</v>
      </c>
      <c r="F320" s="3" t="str">
        <f t="shared" si="100"/>
        <v>100</v>
      </c>
      <c r="G320" s="3" t="str">
        <f t="shared" si="101"/>
        <v>一级</v>
      </c>
    </row>
    <row r="321" customHeight="1" spans="1:7">
      <c r="A321" s="3" t="str">
        <f>"319"</f>
        <v>319</v>
      </c>
      <c r="B321" s="3" t="s">
        <v>291</v>
      </c>
      <c r="C321" s="3" t="str">
        <f>"青园街道"</f>
        <v>青园街道</v>
      </c>
      <c r="D321" s="3" t="str">
        <f>"井湾子社区"</f>
        <v>井湾子社区</v>
      </c>
      <c r="E321" s="3" t="str">
        <f t="shared" si="84"/>
        <v>140</v>
      </c>
      <c r="F321" s="3" t="str">
        <f t="shared" si="100"/>
        <v>100</v>
      </c>
      <c r="G321" s="3" t="str">
        <f t="shared" si="101"/>
        <v>一级</v>
      </c>
    </row>
    <row r="322" customHeight="1" spans="1:7">
      <c r="A322" s="3" t="str">
        <f>"320"</f>
        <v>320</v>
      </c>
      <c r="B322" s="3" t="s">
        <v>292</v>
      </c>
      <c r="C322" s="3" t="str">
        <f t="shared" ref="C322:C324" si="103">"南托街道"</f>
        <v>南托街道</v>
      </c>
      <c r="D322" s="3" t="str">
        <f t="shared" ref="D322:D324" si="104">"牛角塘社区"</f>
        <v>牛角塘社区</v>
      </c>
      <c r="E322" s="3" t="str">
        <f t="shared" si="84"/>
        <v>140</v>
      </c>
      <c r="F322" s="3" t="str">
        <f t="shared" si="100"/>
        <v>100</v>
      </c>
      <c r="G322" s="3" t="str">
        <f t="shared" si="101"/>
        <v>一级</v>
      </c>
    </row>
    <row r="323" customHeight="1" spans="1:7">
      <c r="A323" s="3" t="str">
        <f>"321"</f>
        <v>321</v>
      </c>
      <c r="B323" s="3" t="s">
        <v>293</v>
      </c>
      <c r="C323" s="3" t="str">
        <f t="shared" si="103"/>
        <v>南托街道</v>
      </c>
      <c r="D323" s="3" t="str">
        <f t="shared" si="104"/>
        <v>牛角塘社区</v>
      </c>
      <c r="E323" s="3" t="str">
        <f t="shared" ref="E323:E386" si="105">"140"</f>
        <v>140</v>
      </c>
      <c r="F323" s="3" t="str">
        <f t="shared" si="100"/>
        <v>100</v>
      </c>
      <c r="G323" s="3" t="str">
        <f t="shared" si="102"/>
        <v>二级</v>
      </c>
    </row>
    <row r="324" customHeight="1" spans="1:7">
      <c r="A324" s="3" t="str">
        <f>"322"</f>
        <v>322</v>
      </c>
      <c r="B324" s="3" t="s">
        <v>294</v>
      </c>
      <c r="C324" s="3" t="str">
        <f t="shared" si="103"/>
        <v>南托街道</v>
      </c>
      <c r="D324" s="3" t="str">
        <f t="shared" si="104"/>
        <v>牛角塘社区</v>
      </c>
      <c r="E324" s="3" t="str">
        <f t="shared" si="105"/>
        <v>140</v>
      </c>
      <c r="F324" s="3" t="str">
        <f t="shared" si="100"/>
        <v>100</v>
      </c>
      <c r="G324" s="3" t="str">
        <f t="shared" si="102"/>
        <v>二级</v>
      </c>
    </row>
    <row r="325" customHeight="1" spans="1:7">
      <c r="A325" s="3" t="str">
        <f>"323"</f>
        <v>323</v>
      </c>
      <c r="B325" s="3" t="s">
        <v>295</v>
      </c>
      <c r="C325" s="3" t="str">
        <f>"赤岭路街道"</f>
        <v>赤岭路街道</v>
      </c>
      <c r="D325" s="3" t="str">
        <f>"猴子石社区"</f>
        <v>猴子石社区</v>
      </c>
      <c r="E325" s="3" t="str">
        <f t="shared" si="105"/>
        <v>140</v>
      </c>
      <c r="F325" s="3" t="str">
        <f t="shared" si="100"/>
        <v>100</v>
      </c>
      <c r="G325" s="3" t="str">
        <f t="shared" si="102"/>
        <v>二级</v>
      </c>
    </row>
    <row r="326" customHeight="1" spans="1:7">
      <c r="A326" s="3" t="str">
        <f>"324"</f>
        <v>324</v>
      </c>
      <c r="B326" s="3" t="s">
        <v>141</v>
      </c>
      <c r="C326" s="3" t="str">
        <f>"坡子街街道"</f>
        <v>坡子街街道</v>
      </c>
      <c r="D326" s="3" t="str">
        <f>"创远社区"</f>
        <v>创远社区</v>
      </c>
      <c r="E326" s="3" t="str">
        <f t="shared" si="105"/>
        <v>140</v>
      </c>
      <c r="F326" s="3" t="str">
        <f t="shared" si="100"/>
        <v>100</v>
      </c>
      <c r="G326" s="3" t="str">
        <f t="shared" si="102"/>
        <v>二级</v>
      </c>
    </row>
    <row r="327" customHeight="1" spans="1:7">
      <c r="A327" s="3" t="str">
        <f>"325"</f>
        <v>325</v>
      </c>
      <c r="B327" s="3" t="s">
        <v>296</v>
      </c>
      <c r="C327" s="3" t="str">
        <f>"裕南街街道"</f>
        <v>裕南街街道</v>
      </c>
      <c r="D327" s="3" t="str">
        <f>"向东南社区"</f>
        <v>向东南社区</v>
      </c>
      <c r="E327" s="3" t="str">
        <f t="shared" si="105"/>
        <v>140</v>
      </c>
      <c r="F327" s="3" t="str">
        <f t="shared" si="100"/>
        <v>100</v>
      </c>
      <c r="G327" s="3" t="str">
        <f>"一级"</f>
        <v>一级</v>
      </c>
    </row>
    <row r="328" customHeight="1" spans="1:7">
      <c r="A328" s="3" t="str">
        <f>"326"</f>
        <v>326</v>
      </c>
      <c r="B328" s="3" t="s">
        <v>297</v>
      </c>
      <c r="C328" s="3" t="str">
        <f>"文源街道"</f>
        <v>文源街道</v>
      </c>
      <c r="D328" s="3" t="str">
        <f>"文源社区"</f>
        <v>文源社区</v>
      </c>
      <c r="E328" s="3" t="str">
        <f t="shared" si="105"/>
        <v>140</v>
      </c>
      <c r="F328" s="3" t="str">
        <f t="shared" si="100"/>
        <v>100</v>
      </c>
      <c r="G328" s="3" t="str">
        <f>"一级"</f>
        <v>一级</v>
      </c>
    </row>
    <row r="329" customHeight="1" spans="1:7">
      <c r="A329" s="3" t="str">
        <f>"327"</f>
        <v>327</v>
      </c>
      <c r="B329" s="3" t="s">
        <v>298</v>
      </c>
      <c r="C329" s="3" t="str">
        <f>"新开铺街道"</f>
        <v>新开铺街道</v>
      </c>
      <c r="D329" s="3" t="str">
        <f>"新开铺社区"</f>
        <v>新开铺社区</v>
      </c>
      <c r="E329" s="3" t="str">
        <f t="shared" si="105"/>
        <v>140</v>
      </c>
      <c r="F329" s="3" t="str">
        <f t="shared" si="100"/>
        <v>100</v>
      </c>
      <c r="G329" s="3" t="str">
        <f t="shared" ref="G329:G333" si="106">"二级"</f>
        <v>二级</v>
      </c>
    </row>
    <row r="330" customHeight="1" spans="1:7">
      <c r="A330" s="3" t="str">
        <f>"328"</f>
        <v>328</v>
      </c>
      <c r="B330" s="3" t="s">
        <v>299</v>
      </c>
      <c r="C330" s="3" t="str">
        <f t="shared" ref="C330:C334" si="107">"南托街道"</f>
        <v>南托街道</v>
      </c>
      <c r="D330" s="3" t="str">
        <f>"南鑫社区"</f>
        <v>南鑫社区</v>
      </c>
      <c r="E330" s="3" t="str">
        <f t="shared" si="105"/>
        <v>140</v>
      </c>
      <c r="F330" s="3" t="str">
        <f t="shared" si="100"/>
        <v>100</v>
      </c>
      <c r="G330" s="3" t="str">
        <f t="shared" si="106"/>
        <v>二级</v>
      </c>
    </row>
    <row r="331" customHeight="1" spans="1:7">
      <c r="A331" s="3" t="str">
        <f>"329"</f>
        <v>329</v>
      </c>
      <c r="B331" s="3" t="s">
        <v>300</v>
      </c>
      <c r="C331" s="3" t="str">
        <f t="shared" si="107"/>
        <v>南托街道</v>
      </c>
      <c r="D331" s="3" t="str">
        <f>"牛角塘村"</f>
        <v>牛角塘村</v>
      </c>
      <c r="E331" s="3" t="str">
        <f t="shared" si="105"/>
        <v>140</v>
      </c>
      <c r="F331" s="3" t="str">
        <f t="shared" si="100"/>
        <v>100</v>
      </c>
      <c r="G331" s="3" t="str">
        <f t="shared" si="106"/>
        <v>二级</v>
      </c>
    </row>
    <row r="332" customHeight="1" spans="1:7">
      <c r="A332" s="3" t="str">
        <f>"330"</f>
        <v>330</v>
      </c>
      <c r="B332" s="3" t="s">
        <v>19</v>
      </c>
      <c r="C332" s="3" t="str">
        <f>"大托铺街道"</f>
        <v>大托铺街道</v>
      </c>
      <c r="D332" s="3" t="str">
        <f>"新港村委会"</f>
        <v>新港村委会</v>
      </c>
      <c r="E332" s="3" t="str">
        <f t="shared" si="105"/>
        <v>140</v>
      </c>
      <c r="F332" s="3" t="str">
        <f t="shared" si="100"/>
        <v>100</v>
      </c>
      <c r="G332" s="3" t="str">
        <f t="shared" si="106"/>
        <v>二级</v>
      </c>
    </row>
    <row r="333" customHeight="1" spans="1:7">
      <c r="A333" s="3" t="str">
        <f>"331"</f>
        <v>331</v>
      </c>
      <c r="B333" s="3" t="s">
        <v>301</v>
      </c>
      <c r="C333" s="3" t="str">
        <f t="shared" si="107"/>
        <v>南托街道</v>
      </c>
      <c r="D333" s="3" t="str">
        <f>"滨洲新村"</f>
        <v>滨洲新村</v>
      </c>
      <c r="E333" s="3" t="str">
        <f t="shared" si="105"/>
        <v>140</v>
      </c>
      <c r="F333" s="3" t="str">
        <f t="shared" si="100"/>
        <v>100</v>
      </c>
      <c r="G333" s="3" t="str">
        <f t="shared" si="106"/>
        <v>二级</v>
      </c>
    </row>
    <row r="334" customHeight="1" spans="1:7">
      <c r="A334" s="3" t="str">
        <f>"332"</f>
        <v>332</v>
      </c>
      <c r="B334" s="3" t="s">
        <v>302</v>
      </c>
      <c r="C334" s="3" t="str">
        <f t="shared" si="107"/>
        <v>南托街道</v>
      </c>
      <c r="D334" s="3" t="str">
        <f>"牛角塘村"</f>
        <v>牛角塘村</v>
      </c>
      <c r="E334" s="3" t="str">
        <f t="shared" si="105"/>
        <v>140</v>
      </c>
      <c r="F334" s="3" t="str">
        <f t="shared" si="100"/>
        <v>100</v>
      </c>
      <c r="G334" s="3" t="str">
        <f t="shared" ref="G334:G339" si="108">"一级"</f>
        <v>一级</v>
      </c>
    </row>
    <row r="335" customHeight="1" spans="1:7">
      <c r="A335" s="3" t="str">
        <f>"333"</f>
        <v>333</v>
      </c>
      <c r="B335" s="3" t="s">
        <v>303</v>
      </c>
      <c r="C335" s="3" t="str">
        <f>"坡子街街道"</f>
        <v>坡子街街道</v>
      </c>
      <c r="D335" s="3" t="str">
        <f>"文庙坪社区"</f>
        <v>文庙坪社区</v>
      </c>
      <c r="E335" s="3" t="str">
        <f t="shared" si="105"/>
        <v>140</v>
      </c>
      <c r="F335" s="3" t="str">
        <f t="shared" si="100"/>
        <v>100</v>
      </c>
      <c r="G335" s="3" t="str">
        <f t="shared" si="108"/>
        <v>一级</v>
      </c>
    </row>
    <row r="336" customHeight="1" spans="1:7">
      <c r="A336" s="3" t="str">
        <f>"334"</f>
        <v>334</v>
      </c>
      <c r="B336" s="3" t="s">
        <v>304</v>
      </c>
      <c r="C336" s="3" t="str">
        <f>"黑石铺街道"</f>
        <v>黑石铺街道</v>
      </c>
      <c r="D336" s="3" t="str">
        <f>"披塘村委会"</f>
        <v>披塘村委会</v>
      </c>
      <c r="E336" s="3" t="str">
        <f t="shared" si="105"/>
        <v>140</v>
      </c>
      <c r="F336" s="3" t="str">
        <f t="shared" si="100"/>
        <v>100</v>
      </c>
      <c r="G336" s="3" t="str">
        <f t="shared" ref="G336:G343" si="109">"二级"</f>
        <v>二级</v>
      </c>
    </row>
    <row r="337" customHeight="1" spans="1:7">
      <c r="A337" s="3" t="str">
        <f>"335"</f>
        <v>335</v>
      </c>
      <c r="B337" s="3" t="s">
        <v>305</v>
      </c>
      <c r="C337" s="3" t="str">
        <f>"南托街道"</f>
        <v>南托街道</v>
      </c>
      <c r="D337" s="3" t="str">
        <f>"滨洲新村"</f>
        <v>滨洲新村</v>
      </c>
      <c r="E337" s="3" t="str">
        <f t="shared" si="105"/>
        <v>140</v>
      </c>
      <c r="F337" s="3" t="str">
        <f t="shared" si="100"/>
        <v>100</v>
      </c>
      <c r="G337" s="3" t="str">
        <f t="shared" si="108"/>
        <v>一级</v>
      </c>
    </row>
    <row r="338" customHeight="1" spans="1:7">
      <c r="A338" s="3" t="str">
        <f>"336"</f>
        <v>336</v>
      </c>
      <c r="B338" s="3" t="s">
        <v>306</v>
      </c>
      <c r="C338" s="3" t="str">
        <f>"南托街道"</f>
        <v>南托街道</v>
      </c>
      <c r="D338" s="3" t="str">
        <f>"牛角塘村"</f>
        <v>牛角塘村</v>
      </c>
      <c r="E338" s="3" t="str">
        <f t="shared" si="105"/>
        <v>140</v>
      </c>
      <c r="F338" s="3" t="str">
        <f t="shared" si="100"/>
        <v>100</v>
      </c>
      <c r="G338" s="3" t="str">
        <f t="shared" si="108"/>
        <v>一级</v>
      </c>
    </row>
    <row r="339" customHeight="1" spans="1:7">
      <c r="A339" s="3" t="str">
        <f>"337"</f>
        <v>337</v>
      </c>
      <c r="B339" s="3" t="s">
        <v>307</v>
      </c>
      <c r="C339" s="3" t="str">
        <f>"文源街道"</f>
        <v>文源街道</v>
      </c>
      <c r="D339" s="3" t="str">
        <f>"状元坡社区"</f>
        <v>状元坡社区</v>
      </c>
      <c r="E339" s="3" t="str">
        <f t="shared" si="105"/>
        <v>140</v>
      </c>
      <c r="F339" s="3" t="str">
        <f t="shared" si="100"/>
        <v>100</v>
      </c>
      <c r="G339" s="3" t="str">
        <f t="shared" si="108"/>
        <v>一级</v>
      </c>
    </row>
    <row r="340" customHeight="1" spans="1:7">
      <c r="A340" s="3" t="str">
        <f>"338"</f>
        <v>338</v>
      </c>
      <c r="B340" s="3" t="s">
        <v>308</v>
      </c>
      <c r="C340" s="3" t="str">
        <f>"暮云街道"</f>
        <v>暮云街道</v>
      </c>
      <c r="D340" s="3" t="str">
        <f>"莲华村"</f>
        <v>莲华村</v>
      </c>
      <c r="E340" s="3" t="str">
        <f t="shared" si="105"/>
        <v>140</v>
      </c>
      <c r="F340" s="3" t="str">
        <f t="shared" si="100"/>
        <v>100</v>
      </c>
      <c r="G340" s="3" t="str">
        <f t="shared" si="109"/>
        <v>二级</v>
      </c>
    </row>
    <row r="341" customHeight="1" spans="1:7">
      <c r="A341" s="3" t="str">
        <f>"339"</f>
        <v>339</v>
      </c>
      <c r="B341" s="3" t="s">
        <v>309</v>
      </c>
      <c r="C341" s="3" t="str">
        <f>"青园街道"</f>
        <v>青园街道</v>
      </c>
      <c r="D341" s="3" t="str">
        <f>"友谊社区"</f>
        <v>友谊社区</v>
      </c>
      <c r="E341" s="3" t="str">
        <f t="shared" si="105"/>
        <v>140</v>
      </c>
      <c r="F341" s="3" t="str">
        <f t="shared" si="100"/>
        <v>100</v>
      </c>
      <c r="G341" s="3" t="str">
        <f t="shared" si="109"/>
        <v>二级</v>
      </c>
    </row>
    <row r="342" customHeight="1" spans="1:7">
      <c r="A342" s="3" t="str">
        <f>"340"</f>
        <v>340</v>
      </c>
      <c r="B342" s="3" t="s">
        <v>310</v>
      </c>
      <c r="C342" s="3" t="str">
        <f>"青园街道"</f>
        <v>青园街道</v>
      </c>
      <c r="D342" s="3" t="str">
        <f>"青园社区"</f>
        <v>青园社区</v>
      </c>
      <c r="E342" s="3" t="str">
        <f t="shared" si="105"/>
        <v>140</v>
      </c>
      <c r="F342" s="3" t="str">
        <f t="shared" si="100"/>
        <v>100</v>
      </c>
      <c r="G342" s="3" t="str">
        <f t="shared" si="109"/>
        <v>二级</v>
      </c>
    </row>
    <row r="343" customHeight="1" spans="1:7">
      <c r="A343" s="3" t="str">
        <f>"341"</f>
        <v>341</v>
      </c>
      <c r="B343" s="3" t="s">
        <v>311</v>
      </c>
      <c r="C343" s="3" t="str">
        <f>"暮云街道"</f>
        <v>暮云街道</v>
      </c>
      <c r="D343" s="3" t="str">
        <f>"暮云新村"</f>
        <v>暮云新村</v>
      </c>
      <c r="E343" s="3" t="str">
        <f t="shared" si="105"/>
        <v>140</v>
      </c>
      <c r="F343" s="3" t="str">
        <f t="shared" si="100"/>
        <v>100</v>
      </c>
      <c r="G343" s="3" t="str">
        <f t="shared" si="109"/>
        <v>二级</v>
      </c>
    </row>
    <row r="344" customHeight="1" spans="1:7">
      <c r="A344" s="3" t="str">
        <f>"342"</f>
        <v>342</v>
      </c>
      <c r="B344" s="3" t="s">
        <v>312</v>
      </c>
      <c r="C344" s="3" t="str">
        <f>"南托街道"</f>
        <v>南托街道</v>
      </c>
      <c r="D344" s="3" t="str">
        <f>"融城社区"</f>
        <v>融城社区</v>
      </c>
      <c r="E344" s="3" t="str">
        <f t="shared" si="105"/>
        <v>140</v>
      </c>
      <c r="F344" s="3" t="str">
        <f t="shared" si="100"/>
        <v>100</v>
      </c>
      <c r="G344" s="3" t="str">
        <f t="shared" ref="G344:G348" si="110">"一级"</f>
        <v>一级</v>
      </c>
    </row>
    <row r="345" customHeight="1" spans="1:7">
      <c r="A345" s="3" t="str">
        <f>"343"</f>
        <v>343</v>
      </c>
      <c r="B345" s="3" t="s">
        <v>313</v>
      </c>
      <c r="C345" s="3" t="str">
        <f>"坡子街街道"</f>
        <v>坡子街街道</v>
      </c>
      <c r="D345" s="3" t="str">
        <f>"登仁桥社区"</f>
        <v>登仁桥社区</v>
      </c>
      <c r="E345" s="3" t="str">
        <f t="shared" si="105"/>
        <v>140</v>
      </c>
      <c r="F345" s="3" t="str">
        <f t="shared" si="100"/>
        <v>100</v>
      </c>
      <c r="G345" s="3" t="str">
        <f t="shared" ref="G345:G350" si="111">"二级"</f>
        <v>二级</v>
      </c>
    </row>
    <row r="346" customHeight="1" spans="1:7">
      <c r="A346" s="3" t="str">
        <f>"344"</f>
        <v>344</v>
      </c>
      <c r="B346" s="3" t="s">
        <v>314</v>
      </c>
      <c r="C346" s="3" t="str">
        <f>"大托铺街道"</f>
        <v>大托铺街道</v>
      </c>
      <c r="D346" s="3" t="str">
        <f>"大托村委会"</f>
        <v>大托村委会</v>
      </c>
      <c r="E346" s="3" t="str">
        <f t="shared" si="105"/>
        <v>140</v>
      </c>
      <c r="F346" s="3" t="str">
        <f t="shared" si="100"/>
        <v>100</v>
      </c>
      <c r="G346" s="3" t="str">
        <f t="shared" si="110"/>
        <v>一级</v>
      </c>
    </row>
    <row r="347" customHeight="1" spans="1:7">
      <c r="A347" s="3" t="str">
        <f>"345"</f>
        <v>345</v>
      </c>
      <c r="B347" s="3" t="s">
        <v>315</v>
      </c>
      <c r="C347" s="3" t="str">
        <f>"金盆岭街道"</f>
        <v>金盆岭街道</v>
      </c>
      <c r="D347" s="3" t="str">
        <f>"夏家冲社区"</f>
        <v>夏家冲社区</v>
      </c>
      <c r="E347" s="3" t="str">
        <f t="shared" si="105"/>
        <v>140</v>
      </c>
      <c r="F347" s="3" t="str">
        <f t="shared" si="100"/>
        <v>100</v>
      </c>
      <c r="G347" s="3" t="str">
        <f t="shared" si="111"/>
        <v>二级</v>
      </c>
    </row>
    <row r="348" customHeight="1" spans="1:7">
      <c r="A348" s="3" t="str">
        <f>"346"</f>
        <v>346</v>
      </c>
      <c r="B348" s="3" t="s">
        <v>208</v>
      </c>
      <c r="C348" s="3" t="str">
        <f>"金盆岭街道"</f>
        <v>金盆岭街道</v>
      </c>
      <c r="D348" s="3" t="str">
        <f>"赤岭路社区"</f>
        <v>赤岭路社区</v>
      </c>
      <c r="E348" s="3" t="str">
        <f t="shared" si="105"/>
        <v>140</v>
      </c>
      <c r="F348" s="3" t="str">
        <f t="shared" si="100"/>
        <v>100</v>
      </c>
      <c r="G348" s="3" t="str">
        <f t="shared" si="110"/>
        <v>一级</v>
      </c>
    </row>
    <row r="349" customHeight="1" spans="1:7">
      <c r="A349" s="3" t="str">
        <f>"347"</f>
        <v>347</v>
      </c>
      <c r="B349" s="3" t="s">
        <v>316</v>
      </c>
      <c r="C349" s="3" t="str">
        <f>"赤岭路街道"</f>
        <v>赤岭路街道</v>
      </c>
      <c r="D349" s="3" t="str">
        <f>"新丰社区"</f>
        <v>新丰社区</v>
      </c>
      <c r="E349" s="3" t="str">
        <f t="shared" si="105"/>
        <v>140</v>
      </c>
      <c r="F349" s="3" t="str">
        <f t="shared" si="100"/>
        <v>100</v>
      </c>
      <c r="G349" s="3" t="str">
        <f t="shared" si="111"/>
        <v>二级</v>
      </c>
    </row>
    <row r="350" customHeight="1" spans="1:7">
      <c r="A350" s="3" t="str">
        <f>"348"</f>
        <v>348</v>
      </c>
      <c r="B350" s="3" t="s">
        <v>317</v>
      </c>
      <c r="C350" s="3" t="str">
        <f>"坡子街街道"</f>
        <v>坡子街街道</v>
      </c>
      <c r="D350" s="3" t="str">
        <f>"青山祠社区"</f>
        <v>青山祠社区</v>
      </c>
      <c r="E350" s="3" t="str">
        <f t="shared" si="105"/>
        <v>140</v>
      </c>
      <c r="F350" s="3" t="str">
        <f t="shared" si="100"/>
        <v>100</v>
      </c>
      <c r="G350" s="3" t="str">
        <f t="shared" si="111"/>
        <v>二级</v>
      </c>
    </row>
    <row r="351" customHeight="1" spans="1:7">
      <c r="A351" s="3" t="str">
        <f>"349"</f>
        <v>349</v>
      </c>
      <c r="B351" s="3" t="s">
        <v>318</v>
      </c>
      <c r="C351" s="3" t="str">
        <f>"坡子街街道"</f>
        <v>坡子街街道</v>
      </c>
      <c r="D351" s="3" t="str">
        <f>"登仁桥社区"</f>
        <v>登仁桥社区</v>
      </c>
      <c r="E351" s="3" t="str">
        <f t="shared" si="105"/>
        <v>140</v>
      </c>
      <c r="F351" s="3" t="str">
        <f t="shared" si="100"/>
        <v>100</v>
      </c>
      <c r="G351" s="3" t="str">
        <f>"一级"</f>
        <v>一级</v>
      </c>
    </row>
    <row r="352" customHeight="1" spans="1:7">
      <c r="A352" s="3" t="str">
        <f>"350"</f>
        <v>350</v>
      </c>
      <c r="B352" s="3" t="s">
        <v>319</v>
      </c>
      <c r="C352" s="3" t="str">
        <f>"城南路街道"</f>
        <v>城南路街道</v>
      </c>
      <c r="D352" s="3" t="str">
        <f>"吴家坪社区"</f>
        <v>吴家坪社区</v>
      </c>
      <c r="E352" s="3" t="str">
        <f t="shared" si="105"/>
        <v>140</v>
      </c>
      <c r="F352" s="3" t="str">
        <f t="shared" si="100"/>
        <v>100</v>
      </c>
      <c r="G352" s="3" t="str">
        <f t="shared" ref="G352:G355" si="112">"二级"</f>
        <v>二级</v>
      </c>
    </row>
    <row r="353" customHeight="1" spans="1:7">
      <c r="A353" s="3" t="str">
        <f>"351"</f>
        <v>351</v>
      </c>
      <c r="B353" s="3" t="s">
        <v>320</v>
      </c>
      <c r="C353" s="3" t="str">
        <f>"文源街道"</f>
        <v>文源街道</v>
      </c>
      <c r="D353" s="3" t="str">
        <f>"金汇社区"</f>
        <v>金汇社区</v>
      </c>
      <c r="E353" s="3" t="str">
        <f t="shared" si="105"/>
        <v>140</v>
      </c>
      <c r="F353" s="3" t="str">
        <f t="shared" si="100"/>
        <v>100</v>
      </c>
      <c r="G353" s="3" t="str">
        <f t="shared" si="112"/>
        <v>二级</v>
      </c>
    </row>
    <row r="354" customHeight="1" spans="1:7">
      <c r="A354" s="3" t="str">
        <f>"352"</f>
        <v>352</v>
      </c>
      <c r="B354" s="3" t="s">
        <v>321</v>
      </c>
      <c r="C354" s="3" t="str">
        <f>"青园街道"</f>
        <v>青园街道</v>
      </c>
      <c r="D354" s="3" t="str">
        <f>"井湾子社区"</f>
        <v>井湾子社区</v>
      </c>
      <c r="E354" s="3" t="str">
        <f t="shared" si="105"/>
        <v>140</v>
      </c>
      <c r="F354" s="3" t="str">
        <f t="shared" si="100"/>
        <v>100</v>
      </c>
      <c r="G354" s="3" t="str">
        <f t="shared" si="112"/>
        <v>二级</v>
      </c>
    </row>
    <row r="355" customHeight="1" spans="1:7">
      <c r="A355" s="3" t="str">
        <f>"353"</f>
        <v>353</v>
      </c>
      <c r="B355" s="3" t="s">
        <v>322</v>
      </c>
      <c r="C355" s="3" t="str">
        <f>"青园街道"</f>
        <v>青园街道</v>
      </c>
      <c r="D355" s="3" t="str">
        <f>"湘园社区"</f>
        <v>湘园社区</v>
      </c>
      <c r="E355" s="3" t="str">
        <f t="shared" si="105"/>
        <v>140</v>
      </c>
      <c r="F355" s="3" t="str">
        <f t="shared" si="100"/>
        <v>100</v>
      </c>
      <c r="G355" s="3" t="str">
        <f t="shared" si="112"/>
        <v>二级</v>
      </c>
    </row>
    <row r="356" customHeight="1" spans="1:7">
      <c r="A356" s="3" t="str">
        <f>"354"</f>
        <v>354</v>
      </c>
      <c r="B356" s="3" t="s">
        <v>323</v>
      </c>
      <c r="C356" s="3" t="str">
        <f>"暮云街道"</f>
        <v>暮云街道</v>
      </c>
      <c r="D356" s="3" t="str">
        <f>"高云社区"</f>
        <v>高云社区</v>
      </c>
      <c r="E356" s="3" t="str">
        <f t="shared" si="105"/>
        <v>140</v>
      </c>
      <c r="F356" s="3" t="str">
        <f t="shared" si="100"/>
        <v>100</v>
      </c>
      <c r="G356" s="3" t="str">
        <f>"一级"</f>
        <v>一级</v>
      </c>
    </row>
    <row r="357" customHeight="1" spans="1:7">
      <c r="A357" s="3" t="str">
        <f>"355"</f>
        <v>355</v>
      </c>
      <c r="B357" s="3" t="s">
        <v>324</v>
      </c>
      <c r="C357" s="3" t="str">
        <f>"南托街道"</f>
        <v>南托街道</v>
      </c>
      <c r="D357" s="3" t="str">
        <f>"牛角塘村"</f>
        <v>牛角塘村</v>
      </c>
      <c r="E357" s="3" t="str">
        <f t="shared" si="105"/>
        <v>140</v>
      </c>
      <c r="F357" s="3" t="str">
        <f t="shared" si="100"/>
        <v>100</v>
      </c>
      <c r="G357" s="3" t="str">
        <f>"一级"</f>
        <v>一级</v>
      </c>
    </row>
    <row r="358" customHeight="1" spans="1:7">
      <c r="A358" s="3" t="str">
        <f>"356"</f>
        <v>356</v>
      </c>
      <c r="B358" s="3" t="s">
        <v>68</v>
      </c>
      <c r="C358" s="3" t="str">
        <f>"暮云街道"</f>
        <v>暮云街道</v>
      </c>
      <c r="D358" s="3" t="str">
        <f>"暮云社区"</f>
        <v>暮云社区</v>
      </c>
      <c r="E358" s="3" t="str">
        <f t="shared" si="105"/>
        <v>140</v>
      </c>
      <c r="F358" s="3" t="str">
        <f t="shared" si="100"/>
        <v>100</v>
      </c>
      <c r="G358" s="3" t="str">
        <f t="shared" ref="G358:G364" si="113">"二级"</f>
        <v>二级</v>
      </c>
    </row>
    <row r="359" customHeight="1" spans="1:7">
      <c r="A359" s="3" t="str">
        <f>"357"</f>
        <v>357</v>
      </c>
      <c r="B359" s="3" t="s">
        <v>146</v>
      </c>
      <c r="C359" s="3" t="str">
        <f>"南托街道"</f>
        <v>南托街道</v>
      </c>
      <c r="D359" s="3" t="str">
        <f>"滨洲新村"</f>
        <v>滨洲新村</v>
      </c>
      <c r="E359" s="3" t="str">
        <f t="shared" si="105"/>
        <v>140</v>
      </c>
      <c r="F359" s="3" t="str">
        <f t="shared" si="100"/>
        <v>100</v>
      </c>
      <c r="G359" s="3" t="str">
        <f t="shared" si="113"/>
        <v>二级</v>
      </c>
    </row>
    <row r="360" customHeight="1" spans="1:7">
      <c r="A360" s="3" t="str">
        <f>"358"</f>
        <v>358</v>
      </c>
      <c r="B360" s="3" t="s">
        <v>325</v>
      </c>
      <c r="C360" s="3" t="str">
        <f>"金盆岭街道"</f>
        <v>金盆岭街道</v>
      </c>
      <c r="D360" s="3" t="str">
        <f>"夏家冲社区"</f>
        <v>夏家冲社区</v>
      </c>
      <c r="E360" s="3" t="str">
        <f t="shared" si="105"/>
        <v>140</v>
      </c>
      <c r="F360" s="3" t="str">
        <f t="shared" si="100"/>
        <v>100</v>
      </c>
      <c r="G360" s="3" t="str">
        <f t="shared" si="113"/>
        <v>二级</v>
      </c>
    </row>
    <row r="361" customHeight="1" spans="1:7">
      <c r="A361" s="3" t="str">
        <f>"359"</f>
        <v>359</v>
      </c>
      <c r="B361" s="3" t="s">
        <v>326</v>
      </c>
      <c r="C361" s="3" t="str">
        <f>"裕南街街道"</f>
        <v>裕南街街道</v>
      </c>
      <c r="D361" s="3" t="str">
        <f>"向东南社区"</f>
        <v>向东南社区</v>
      </c>
      <c r="E361" s="3" t="str">
        <f t="shared" si="105"/>
        <v>140</v>
      </c>
      <c r="F361" s="3" t="str">
        <f t="shared" si="100"/>
        <v>100</v>
      </c>
      <c r="G361" s="3" t="str">
        <f t="shared" si="113"/>
        <v>二级</v>
      </c>
    </row>
    <row r="362" customHeight="1" spans="1:7">
      <c r="A362" s="3" t="str">
        <f>"360"</f>
        <v>360</v>
      </c>
      <c r="B362" s="3" t="s">
        <v>146</v>
      </c>
      <c r="C362" s="3" t="str">
        <f>"裕南街街道"</f>
        <v>裕南街街道</v>
      </c>
      <c r="D362" s="3" t="str">
        <f>"仰天湖社区"</f>
        <v>仰天湖社区</v>
      </c>
      <c r="E362" s="3" t="str">
        <f t="shared" si="105"/>
        <v>140</v>
      </c>
      <c r="F362" s="3" t="str">
        <f t="shared" si="100"/>
        <v>100</v>
      </c>
      <c r="G362" s="3" t="str">
        <f t="shared" si="113"/>
        <v>二级</v>
      </c>
    </row>
    <row r="363" customHeight="1" spans="1:7">
      <c r="A363" s="3" t="str">
        <f>"361"</f>
        <v>361</v>
      </c>
      <c r="B363" s="3" t="s">
        <v>76</v>
      </c>
      <c r="C363" s="3" t="str">
        <f t="shared" ref="C363:C368" si="114">"坡子街街道"</f>
        <v>坡子街街道</v>
      </c>
      <c r="D363" s="3" t="str">
        <f>"楚湘社区"</f>
        <v>楚湘社区</v>
      </c>
      <c r="E363" s="3" t="str">
        <f t="shared" si="105"/>
        <v>140</v>
      </c>
      <c r="F363" s="3" t="str">
        <f t="shared" si="100"/>
        <v>100</v>
      </c>
      <c r="G363" s="3" t="str">
        <f t="shared" si="113"/>
        <v>二级</v>
      </c>
    </row>
    <row r="364" customHeight="1" spans="1:7">
      <c r="A364" s="3" t="str">
        <f>"362"</f>
        <v>362</v>
      </c>
      <c r="B364" s="3" t="s">
        <v>327</v>
      </c>
      <c r="C364" s="3" t="str">
        <f>"城南路街道"</f>
        <v>城南路街道</v>
      </c>
      <c r="D364" s="3" t="str">
        <f>"熙台岭社区"</f>
        <v>熙台岭社区</v>
      </c>
      <c r="E364" s="3" t="str">
        <f t="shared" si="105"/>
        <v>140</v>
      </c>
      <c r="F364" s="3" t="str">
        <f t="shared" si="100"/>
        <v>100</v>
      </c>
      <c r="G364" s="3" t="str">
        <f t="shared" si="113"/>
        <v>二级</v>
      </c>
    </row>
    <row r="365" customHeight="1" spans="1:7">
      <c r="A365" s="3" t="str">
        <f>"363"</f>
        <v>363</v>
      </c>
      <c r="B365" s="3" t="s">
        <v>328</v>
      </c>
      <c r="C365" s="3" t="str">
        <f>"新开铺街道"</f>
        <v>新开铺街道</v>
      </c>
      <c r="D365" s="3" t="str">
        <f>"新开铺社区"</f>
        <v>新开铺社区</v>
      </c>
      <c r="E365" s="3" t="str">
        <f t="shared" si="105"/>
        <v>140</v>
      </c>
      <c r="F365" s="3" t="str">
        <f t="shared" ref="F365:F428" si="115">"100"</f>
        <v>100</v>
      </c>
      <c r="G365" s="3" t="str">
        <f t="shared" ref="G365:G368" si="116">"一级"</f>
        <v>一级</v>
      </c>
    </row>
    <row r="366" customHeight="1" spans="1:7">
      <c r="A366" s="3" t="str">
        <f>"364"</f>
        <v>364</v>
      </c>
      <c r="B366" s="3" t="s">
        <v>329</v>
      </c>
      <c r="C366" s="3" t="str">
        <f t="shared" si="114"/>
        <v>坡子街街道</v>
      </c>
      <c r="D366" s="3" t="str">
        <f>"文庙坪社区"</f>
        <v>文庙坪社区</v>
      </c>
      <c r="E366" s="3" t="str">
        <f t="shared" si="105"/>
        <v>140</v>
      </c>
      <c r="F366" s="3" t="str">
        <f t="shared" si="115"/>
        <v>100</v>
      </c>
      <c r="G366" s="3" t="str">
        <f t="shared" si="116"/>
        <v>一级</v>
      </c>
    </row>
    <row r="367" customHeight="1" spans="1:7">
      <c r="A367" s="3" t="str">
        <f>"365"</f>
        <v>365</v>
      </c>
      <c r="B367" s="3" t="s">
        <v>330</v>
      </c>
      <c r="C367" s="3" t="str">
        <f>"新开铺街道"</f>
        <v>新开铺街道</v>
      </c>
      <c r="D367" s="3" t="str">
        <f>"新开铺社区"</f>
        <v>新开铺社区</v>
      </c>
      <c r="E367" s="3" t="str">
        <f t="shared" si="105"/>
        <v>140</v>
      </c>
      <c r="F367" s="3" t="str">
        <f t="shared" si="115"/>
        <v>100</v>
      </c>
      <c r="G367" s="3" t="str">
        <f t="shared" ref="G367:G373" si="117">"二级"</f>
        <v>二级</v>
      </c>
    </row>
    <row r="368" customHeight="1" spans="1:7">
      <c r="A368" s="3" t="str">
        <f>"366"</f>
        <v>366</v>
      </c>
      <c r="B368" s="3" t="s">
        <v>331</v>
      </c>
      <c r="C368" s="3" t="str">
        <f t="shared" si="114"/>
        <v>坡子街街道</v>
      </c>
      <c r="D368" s="3" t="str">
        <f>"楚湘社区"</f>
        <v>楚湘社区</v>
      </c>
      <c r="E368" s="3" t="str">
        <f t="shared" si="105"/>
        <v>140</v>
      </c>
      <c r="F368" s="3" t="str">
        <f t="shared" si="115"/>
        <v>100</v>
      </c>
      <c r="G368" s="3" t="str">
        <f t="shared" si="116"/>
        <v>一级</v>
      </c>
    </row>
    <row r="369" customHeight="1" spans="1:7">
      <c r="A369" s="3" t="str">
        <f>"367"</f>
        <v>367</v>
      </c>
      <c r="B369" s="3" t="s">
        <v>298</v>
      </c>
      <c r="C369" s="3" t="str">
        <f t="shared" ref="C369:C373" si="118">"大托铺街道"</f>
        <v>大托铺街道</v>
      </c>
      <c r="D369" s="3" t="str">
        <f>"桂井村委会"</f>
        <v>桂井村委会</v>
      </c>
      <c r="E369" s="3" t="str">
        <f t="shared" si="105"/>
        <v>140</v>
      </c>
      <c r="F369" s="3" t="str">
        <f t="shared" si="115"/>
        <v>100</v>
      </c>
      <c r="G369" s="3" t="str">
        <f t="shared" si="117"/>
        <v>二级</v>
      </c>
    </row>
    <row r="370" customHeight="1" spans="1:7">
      <c r="A370" s="3" t="str">
        <f>"368"</f>
        <v>368</v>
      </c>
      <c r="B370" s="3" t="s">
        <v>332</v>
      </c>
      <c r="C370" s="3" t="str">
        <f>"赤岭路街道"</f>
        <v>赤岭路街道</v>
      </c>
      <c r="D370" s="3" t="str">
        <f>"南大桥社区"</f>
        <v>南大桥社区</v>
      </c>
      <c r="E370" s="3" t="str">
        <f t="shared" si="105"/>
        <v>140</v>
      </c>
      <c r="F370" s="3" t="str">
        <f t="shared" si="115"/>
        <v>100</v>
      </c>
      <c r="G370" s="3" t="str">
        <f t="shared" si="117"/>
        <v>二级</v>
      </c>
    </row>
    <row r="371" customHeight="1" spans="1:7">
      <c r="A371" s="3" t="str">
        <f>"369"</f>
        <v>369</v>
      </c>
      <c r="B371" s="3" t="s">
        <v>333</v>
      </c>
      <c r="C371" s="3" t="str">
        <f t="shared" si="118"/>
        <v>大托铺街道</v>
      </c>
      <c r="D371" s="3" t="str">
        <f>"大托村委会"</f>
        <v>大托村委会</v>
      </c>
      <c r="E371" s="3" t="str">
        <f t="shared" si="105"/>
        <v>140</v>
      </c>
      <c r="F371" s="3" t="str">
        <f t="shared" si="115"/>
        <v>100</v>
      </c>
      <c r="G371" s="3" t="str">
        <f t="shared" si="117"/>
        <v>二级</v>
      </c>
    </row>
    <row r="372" customHeight="1" spans="1:7">
      <c r="A372" s="3" t="str">
        <f>"370"</f>
        <v>370</v>
      </c>
      <c r="B372" s="3" t="s">
        <v>334</v>
      </c>
      <c r="C372" s="3" t="str">
        <f t="shared" si="118"/>
        <v>大托铺街道</v>
      </c>
      <c r="D372" s="3" t="str">
        <f>"桂井村委会"</f>
        <v>桂井村委会</v>
      </c>
      <c r="E372" s="3" t="str">
        <f t="shared" si="105"/>
        <v>140</v>
      </c>
      <c r="F372" s="3" t="str">
        <f t="shared" si="115"/>
        <v>100</v>
      </c>
      <c r="G372" s="3" t="str">
        <f t="shared" si="117"/>
        <v>二级</v>
      </c>
    </row>
    <row r="373" customHeight="1" spans="1:7">
      <c r="A373" s="3" t="str">
        <f>"371"</f>
        <v>371</v>
      </c>
      <c r="B373" s="3" t="s">
        <v>335</v>
      </c>
      <c r="C373" s="3" t="str">
        <f t="shared" si="118"/>
        <v>大托铺街道</v>
      </c>
      <c r="D373" s="3" t="str">
        <f>"兴隆村委会"</f>
        <v>兴隆村委会</v>
      </c>
      <c r="E373" s="3" t="str">
        <f t="shared" si="105"/>
        <v>140</v>
      </c>
      <c r="F373" s="3" t="str">
        <f t="shared" si="115"/>
        <v>100</v>
      </c>
      <c r="G373" s="3" t="str">
        <f t="shared" si="117"/>
        <v>二级</v>
      </c>
    </row>
    <row r="374" customHeight="1" spans="1:7">
      <c r="A374" s="3" t="str">
        <f>"372"</f>
        <v>372</v>
      </c>
      <c r="B374" s="3" t="s">
        <v>336</v>
      </c>
      <c r="C374" s="3" t="str">
        <f>"黑石铺街道"</f>
        <v>黑石铺街道</v>
      </c>
      <c r="D374" s="3" t="str">
        <f>"一力社区"</f>
        <v>一力社区</v>
      </c>
      <c r="E374" s="3" t="str">
        <f t="shared" si="105"/>
        <v>140</v>
      </c>
      <c r="F374" s="3" t="str">
        <f t="shared" si="115"/>
        <v>100</v>
      </c>
      <c r="G374" s="3" t="str">
        <f>"一级"</f>
        <v>一级</v>
      </c>
    </row>
    <row r="375" customHeight="1" spans="1:7">
      <c r="A375" s="3" t="str">
        <f>"373"</f>
        <v>373</v>
      </c>
      <c r="B375" s="3" t="s">
        <v>132</v>
      </c>
      <c r="C375" s="3" t="str">
        <f>"赤岭路街道"</f>
        <v>赤岭路街道</v>
      </c>
      <c r="D375" s="3" t="str">
        <f>"南大桥社区"</f>
        <v>南大桥社区</v>
      </c>
      <c r="E375" s="3" t="str">
        <f t="shared" si="105"/>
        <v>140</v>
      </c>
      <c r="F375" s="3" t="str">
        <f t="shared" si="115"/>
        <v>100</v>
      </c>
      <c r="G375" s="3" t="str">
        <f>"一级"</f>
        <v>一级</v>
      </c>
    </row>
    <row r="376" customHeight="1" spans="1:7">
      <c r="A376" s="3" t="str">
        <f>"374"</f>
        <v>374</v>
      </c>
      <c r="B376" s="3" t="s">
        <v>337</v>
      </c>
      <c r="C376" s="3" t="str">
        <f t="shared" ref="C376:C380" si="119">"暮云街道"</f>
        <v>暮云街道</v>
      </c>
      <c r="D376" s="3" t="str">
        <f>"高云社区"</f>
        <v>高云社区</v>
      </c>
      <c r="E376" s="3" t="str">
        <f t="shared" si="105"/>
        <v>140</v>
      </c>
      <c r="F376" s="3" t="str">
        <f t="shared" si="115"/>
        <v>100</v>
      </c>
      <c r="G376" s="3" t="str">
        <f t="shared" ref="G376:G381" si="120">"二级"</f>
        <v>二级</v>
      </c>
    </row>
    <row r="377" customHeight="1" spans="1:7">
      <c r="A377" s="3" t="str">
        <f>"375"</f>
        <v>375</v>
      </c>
      <c r="B377" s="3" t="s">
        <v>338</v>
      </c>
      <c r="C377" s="3" t="str">
        <f>"南托街道"</f>
        <v>南托街道</v>
      </c>
      <c r="D377" s="3" t="str">
        <f>"滨洲新村"</f>
        <v>滨洲新村</v>
      </c>
      <c r="E377" s="3" t="str">
        <f t="shared" si="105"/>
        <v>140</v>
      </c>
      <c r="F377" s="3" t="str">
        <f t="shared" si="115"/>
        <v>100</v>
      </c>
      <c r="G377" s="3" t="str">
        <f t="shared" si="120"/>
        <v>二级</v>
      </c>
    </row>
    <row r="378" customHeight="1" spans="1:7">
      <c r="A378" s="3" t="str">
        <f>"376"</f>
        <v>376</v>
      </c>
      <c r="B378" s="3" t="s">
        <v>76</v>
      </c>
      <c r="C378" s="3" t="str">
        <f>"坡子街街道"</f>
        <v>坡子街街道</v>
      </c>
      <c r="D378" s="3" t="str">
        <f>"碧湘社区"</f>
        <v>碧湘社区</v>
      </c>
      <c r="E378" s="3" t="str">
        <f t="shared" si="105"/>
        <v>140</v>
      </c>
      <c r="F378" s="3" t="str">
        <f t="shared" si="115"/>
        <v>100</v>
      </c>
      <c r="G378" s="3" t="str">
        <f t="shared" si="120"/>
        <v>二级</v>
      </c>
    </row>
    <row r="379" customHeight="1" spans="1:7">
      <c r="A379" s="3" t="str">
        <f>"377"</f>
        <v>377</v>
      </c>
      <c r="B379" s="3" t="s">
        <v>146</v>
      </c>
      <c r="C379" s="3" t="str">
        <f t="shared" si="119"/>
        <v>暮云街道</v>
      </c>
      <c r="D379" s="3" t="str">
        <f>"暮云新村"</f>
        <v>暮云新村</v>
      </c>
      <c r="E379" s="3" t="str">
        <f t="shared" si="105"/>
        <v>140</v>
      </c>
      <c r="F379" s="3" t="str">
        <f t="shared" si="115"/>
        <v>100</v>
      </c>
      <c r="G379" s="3" t="str">
        <f t="shared" si="120"/>
        <v>二级</v>
      </c>
    </row>
    <row r="380" customHeight="1" spans="1:7">
      <c r="A380" s="3" t="str">
        <f>"378"</f>
        <v>378</v>
      </c>
      <c r="B380" s="3" t="s">
        <v>26</v>
      </c>
      <c r="C380" s="3" t="str">
        <f t="shared" si="119"/>
        <v>暮云街道</v>
      </c>
      <c r="D380" s="3" t="str">
        <f>"莲华村"</f>
        <v>莲华村</v>
      </c>
      <c r="E380" s="3" t="str">
        <f t="shared" si="105"/>
        <v>140</v>
      </c>
      <c r="F380" s="3" t="str">
        <f t="shared" si="115"/>
        <v>100</v>
      </c>
      <c r="G380" s="3" t="str">
        <f t="shared" si="120"/>
        <v>二级</v>
      </c>
    </row>
    <row r="381" customHeight="1" spans="1:7">
      <c r="A381" s="3" t="str">
        <f>"379"</f>
        <v>379</v>
      </c>
      <c r="B381" s="3" t="s">
        <v>119</v>
      </c>
      <c r="C381" s="3" t="str">
        <f>"桂花坪街道"</f>
        <v>桂花坪街道</v>
      </c>
      <c r="D381" s="3" t="str">
        <f>"金桂社区"</f>
        <v>金桂社区</v>
      </c>
      <c r="E381" s="3" t="str">
        <f t="shared" si="105"/>
        <v>140</v>
      </c>
      <c r="F381" s="3" t="str">
        <f t="shared" si="115"/>
        <v>100</v>
      </c>
      <c r="G381" s="3" t="str">
        <f t="shared" si="120"/>
        <v>二级</v>
      </c>
    </row>
    <row r="382" customHeight="1" spans="1:7">
      <c r="A382" s="3" t="str">
        <f>"380"</f>
        <v>380</v>
      </c>
      <c r="B382" s="3" t="s">
        <v>339</v>
      </c>
      <c r="C382" s="3" t="str">
        <f>"坡子街街道"</f>
        <v>坡子街街道</v>
      </c>
      <c r="D382" s="3" t="str">
        <f>"八角亭社区"</f>
        <v>八角亭社区</v>
      </c>
      <c r="E382" s="3" t="str">
        <f t="shared" si="105"/>
        <v>140</v>
      </c>
      <c r="F382" s="3" t="str">
        <f t="shared" si="115"/>
        <v>100</v>
      </c>
      <c r="G382" s="3" t="str">
        <f>"一级"</f>
        <v>一级</v>
      </c>
    </row>
    <row r="383" customHeight="1" spans="1:7">
      <c r="A383" s="3" t="str">
        <f>"381"</f>
        <v>381</v>
      </c>
      <c r="B383" s="3" t="s">
        <v>316</v>
      </c>
      <c r="C383" s="3" t="str">
        <f>"南托街道"</f>
        <v>南托街道</v>
      </c>
      <c r="D383" s="3" t="str">
        <f>"滨洲新村"</f>
        <v>滨洲新村</v>
      </c>
      <c r="E383" s="3" t="str">
        <f t="shared" si="105"/>
        <v>140</v>
      </c>
      <c r="F383" s="3" t="str">
        <f t="shared" si="115"/>
        <v>100</v>
      </c>
      <c r="G383" s="3" t="str">
        <f t="shared" ref="G383:G387" si="121">"二级"</f>
        <v>二级</v>
      </c>
    </row>
    <row r="384" customHeight="1" spans="1:7">
      <c r="A384" s="3" t="str">
        <f>"382"</f>
        <v>382</v>
      </c>
      <c r="B384" s="3" t="s">
        <v>340</v>
      </c>
      <c r="C384" s="3" t="str">
        <f>"大托铺街道"</f>
        <v>大托铺街道</v>
      </c>
      <c r="D384" s="3" t="str">
        <f>"黄合村委会"</f>
        <v>黄合村委会</v>
      </c>
      <c r="E384" s="3" t="str">
        <f t="shared" si="105"/>
        <v>140</v>
      </c>
      <c r="F384" s="3" t="str">
        <f t="shared" si="115"/>
        <v>100</v>
      </c>
      <c r="G384" s="3" t="str">
        <f t="shared" si="121"/>
        <v>二级</v>
      </c>
    </row>
    <row r="385" customHeight="1" spans="1:7">
      <c r="A385" s="3" t="str">
        <f>"383"</f>
        <v>383</v>
      </c>
      <c r="B385" s="3" t="s">
        <v>341</v>
      </c>
      <c r="C385" s="3" t="str">
        <f t="shared" ref="C385:C389" si="122">"文源街道"</f>
        <v>文源街道</v>
      </c>
      <c r="D385" s="3" t="str">
        <f>"状元坡社区"</f>
        <v>状元坡社区</v>
      </c>
      <c r="E385" s="3" t="str">
        <f t="shared" si="105"/>
        <v>140</v>
      </c>
      <c r="F385" s="3" t="str">
        <f t="shared" si="115"/>
        <v>100</v>
      </c>
      <c r="G385" s="3" t="str">
        <f t="shared" si="121"/>
        <v>二级</v>
      </c>
    </row>
    <row r="386" customHeight="1" spans="1:7">
      <c r="A386" s="3" t="str">
        <f>"384"</f>
        <v>384</v>
      </c>
      <c r="B386" s="3" t="s">
        <v>342</v>
      </c>
      <c r="C386" s="3" t="str">
        <f t="shared" si="122"/>
        <v>文源街道</v>
      </c>
      <c r="D386" s="3" t="str">
        <f>"状元坡社区"</f>
        <v>状元坡社区</v>
      </c>
      <c r="E386" s="3" t="str">
        <f t="shared" si="105"/>
        <v>140</v>
      </c>
      <c r="F386" s="3" t="str">
        <f t="shared" si="115"/>
        <v>100</v>
      </c>
      <c r="G386" s="3" t="str">
        <f t="shared" si="121"/>
        <v>二级</v>
      </c>
    </row>
    <row r="387" customHeight="1" spans="1:7">
      <c r="A387" s="3" t="str">
        <f>"385"</f>
        <v>385</v>
      </c>
      <c r="B387" s="3" t="s">
        <v>343</v>
      </c>
      <c r="C387" s="3" t="str">
        <f t="shared" ref="C387:C391" si="123">"裕南街街道"</f>
        <v>裕南街街道</v>
      </c>
      <c r="D387" s="3" t="str">
        <f>"碧沙湖社区"</f>
        <v>碧沙湖社区</v>
      </c>
      <c r="E387" s="3" t="str">
        <f t="shared" ref="E387:E450" si="124">"140"</f>
        <v>140</v>
      </c>
      <c r="F387" s="3" t="str">
        <f t="shared" si="115"/>
        <v>100</v>
      </c>
      <c r="G387" s="3" t="str">
        <f t="shared" si="121"/>
        <v>二级</v>
      </c>
    </row>
    <row r="388" customHeight="1" spans="1:7">
      <c r="A388" s="3" t="str">
        <f>"386"</f>
        <v>386</v>
      </c>
      <c r="B388" s="3" t="s">
        <v>344</v>
      </c>
      <c r="C388" s="3" t="str">
        <f>"青园街道"</f>
        <v>青园街道</v>
      </c>
      <c r="D388" s="3" t="str">
        <f>"井湾子社区"</f>
        <v>井湾子社区</v>
      </c>
      <c r="E388" s="3" t="str">
        <f t="shared" si="124"/>
        <v>140</v>
      </c>
      <c r="F388" s="3" t="str">
        <f t="shared" si="115"/>
        <v>100</v>
      </c>
      <c r="G388" s="3" t="str">
        <f t="shared" ref="G388:G396" si="125">"一级"</f>
        <v>一级</v>
      </c>
    </row>
    <row r="389" customHeight="1" spans="1:7">
      <c r="A389" s="3" t="str">
        <f>"387"</f>
        <v>387</v>
      </c>
      <c r="B389" s="3" t="s">
        <v>345</v>
      </c>
      <c r="C389" s="3" t="str">
        <f t="shared" si="122"/>
        <v>文源街道</v>
      </c>
      <c r="D389" s="3" t="str">
        <f>"金汇社区"</f>
        <v>金汇社区</v>
      </c>
      <c r="E389" s="3" t="str">
        <f t="shared" si="124"/>
        <v>140</v>
      </c>
      <c r="F389" s="3" t="str">
        <f t="shared" si="115"/>
        <v>100</v>
      </c>
      <c r="G389" s="3" t="str">
        <f t="shared" si="125"/>
        <v>一级</v>
      </c>
    </row>
    <row r="390" customHeight="1" spans="1:7">
      <c r="A390" s="3" t="str">
        <f>"388"</f>
        <v>388</v>
      </c>
      <c r="B390" s="3" t="s">
        <v>346</v>
      </c>
      <c r="C390" s="3" t="str">
        <f t="shared" si="123"/>
        <v>裕南街街道</v>
      </c>
      <c r="D390" s="3" t="str">
        <f>"杏花园社区"</f>
        <v>杏花园社区</v>
      </c>
      <c r="E390" s="3" t="str">
        <f t="shared" si="124"/>
        <v>140</v>
      </c>
      <c r="F390" s="3" t="str">
        <f t="shared" si="115"/>
        <v>100</v>
      </c>
      <c r="G390" s="3" t="str">
        <f t="shared" si="125"/>
        <v>一级</v>
      </c>
    </row>
    <row r="391" customHeight="1" spans="1:7">
      <c r="A391" s="3" t="str">
        <f>"389"</f>
        <v>389</v>
      </c>
      <c r="B391" s="3" t="s">
        <v>347</v>
      </c>
      <c r="C391" s="3" t="str">
        <f t="shared" si="123"/>
        <v>裕南街街道</v>
      </c>
      <c r="D391" s="3" t="str">
        <f>"石子冲社区"</f>
        <v>石子冲社区</v>
      </c>
      <c r="E391" s="3" t="str">
        <f t="shared" si="124"/>
        <v>140</v>
      </c>
      <c r="F391" s="3" t="str">
        <f t="shared" si="115"/>
        <v>100</v>
      </c>
      <c r="G391" s="3" t="str">
        <f t="shared" si="125"/>
        <v>一级</v>
      </c>
    </row>
    <row r="392" customHeight="1" spans="1:7">
      <c r="A392" s="3" t="str">
        <f>"390"</f>
        <v>390</v>
      </c>
      <c r="B392" s="3" t="s">
        <v>348</v>
      </c>
      <c r="C392" s="3" t="str">
        <f>"大托铺街道"</f>
        <v>大托铺街道</v>
      </c>
      <c r="D392" s="3" t="str">
        <f>"新港村委会"</f>
        <v>新港村委会</v>
      </c>
      <c r="E392" s="3" t="str">
        <f t="shared" si="124"/>
        <v>140</v>
      </c>
      <c r="F392" s="3" t="str">
        <f t="shared" si="115"/>
        <v>100</v>
      </c>
      <c r="G392" s="3" t="str">
        <f t="shared" si="125"/>
        <v>一级</v>
      </c>
    </row>
    <row r="393" customHeight="1" spans="1:7">
      <c r="A393" s="3" t="str">
        <f>"391"</f>
        <v>391</v>
      </c>
      <c r="B393" s="3" t="s">
        <v>349</v>
      </c>
      <c r="C393" s="3" t="str">
        <f>"坡子街街道"</f>
        <v>坡子街街道</v>
      </c>
      <c r="D393" s="3" t="str">
        <f>"青山祠社区"</f>
        <v>青山祠社区</v>
      </c>
      <c r="E393" s="3" t="str">
        <f t="shared" si="124"/>
        <v>140</v>
      </c>
      <c r="F393" s="3" t="str">
        <f t="shared" si="115"/>
        <v>100</v>
      </c>
      <c r="G393" s="3" t="str">
        <f t="shared" si="125"/>
        <v>一级</v>
      </c>
    </row>
    <row r="394" customHeight="1" spans="1:7">
      <c r="A394" s="3" t="str">
        <f>"392"</f>
        <v>392</v>
      </c>
      <c r="B394" s="3" t="s">
        <v>350</v>
      </c>
      <c r="C394" s="3" t="str">
        <f>"金盆岭街道"</f>
        <v>金盆岭街道</v>
      </c>
      <c r="D394" s="3" t="str">
        <f>"赤岭路社区"</f>
        <v>赤岭路社区</v>
      </c>
      <c r="E394" s="3" t="str">
        <f t="shared" si="124"/>
        <v>140</v>
      </c>
      <c r="F394" s="3" t="str">
        <f t="shared" si="115"/>
        <v>100</v>
      </c>
      <c r="G394" s="3" t="str">
        <f t="shared" si="125"/>
        <v>一级</v>
      </c>
    </row>
    <row r="395" customHeight="1" spans="1:7">
      <c r="A395" s="3" t="str">
        <f>"393"</f>
        <v>393</v>
      </c>
      <c r="B395" s="3" t="s">
        <v>351</v>
      </c>
      <c r="C395" s="3" t="str">
        <f>"文源街道"</f>
        <v>文源街道</v>
      </c>
      <c r="D395" s="3" t="str">
        <f>"天鸿社区"</f>
        <v>天鸿社区</v>
      </c>
      <c r="E395" s="3" t="str">
        <f t="shared" si="124"/>
        <v>140</v>
      </c>
      <c r="F395" s="3" t="str">
        <f t="shared" si="115"/>
        <v>100</v>
      </c>
      <c r="G395" s="3" t="str">
        <f t="shared" si="125"/>
        <v>一级</v>
      </c>
    </row>
    <row r="396" customHeight="1" spans="1:7">
      <c r="A396" s="3" t="str">
        <f>"394"</f>
        <v>394</v>
      </c>
      <c r="B396" s="3" t="s">
        <v>352</v>
      </c>
      <c r="C396" s="3" t="str">
        <f>"黑石铺街道"</f>
        <v>黑石铺街道</v>
      </c>
      <c r="D396" s="3" t="str">
        <f>"披塘村委会"</f>
        <v>披塘村委会</v>
      </c>
      <c r="E396" s="3" t="str">
        <f t="shared" si="124"/>
        <v>140</v>
      </c>
      <c r="F396" s="3" t="str">
        <f t="shared" si="115"/>
        <v>100</v>
      </c>
      <c r="G396" s="3" t="str">
        <f t="shared" si="125"/>
        <v>一级</v>
      </c>
    </row>
    <row r="397" customHeight="1" spans="1:7">
      <c r="A397" s="3" t="str">
        <f>"395"</f>
        <v>395</v>
      </c>
      <c r="B397" s="3" t="s">
        <v>353</v>
      </c>
      <c r="C397" s="3" t="str">
        <f>"大托铺街道"</f>
        <v>大托铺街道</v>
      </c>
      <c r="D397" s="3" t="str">
        <f>"新港村委会"</f>
        <v>新港村委会</v>
      </c>
      <c r="E397" s="3" t="str">
        <f t="shared" si="124"/>
        <v>140</v>
      </c>
      <c r="F397" s="3" t="str">
        <f t="shared" si="115"/>
        <v>100</v>
      </c>
      <c r="G397" s="3" t="str">
        <f t="shared" ref="G397:G402" si="126">"二级"</f>
        <v>二级</v>
      </c>
    </row>
    <row r="398" customHeight="1" spans="1:7">
      <c r="A398" s="3" t="str">
        <f>"396"</f>
        <v>396</v>
      </c>
      <c r="B398" s="3" t="s">
        <v>354</v>
      </c>
      <c r="C398" s="3" t="str">
        <f>"黑石铺街道"</f>
        <v>黑石铺街道</v>
      </c>
      <c r="D398" s="3" t="str">
        <f>"一力社区"</f>
        <v>一力社区</v>
      </c>
      <c r="E398" s="3" t="str">
        <f t="shared" si="124"/>
        <v>140</v>
      </c>
      <c r="F398" s="3" t="str">
        <f t="shared" si="115"/>
        <v>100</v>
      </c>
      <c r="G398" s="3" t="str">
        <f t="shared" si="126"/>
        <v>二级</v>
      </c>
    </row>
    <row r="399" customHeight="1" spans="1:7">
      <c r="A399" s="3" t="str">
        <f>"397"</f>
        <v>397</v>
      </c>
      <c r="B399" s="3" t="s">
        <v>355</v>
      </c>
      <c r="C399" s="3" t="str">
        <f>"赤岭路街道"</f>
        <v>赤岭路街道</v>
      </c>
      <c r="D399" s="3" t="str">
        <f>"猴子石社区"</f>
        <v>猴子石社区</v>
      </c>
      <c r="E399" s="3" t="str">
        <f t="shared" si="124"/>
        <v>140</v>
      </c>
      <c r="F399" s="3" t="str">
        <f t="shared" si="115"/>
        <v>100</v>
      </c>
      <c r="G399" s="3" t="str">
        <f t="shared" si="126"/>
        <v>二级</v>
      </c>
    </row>
    <row r="400" customHeight="1" spans="1:7">
      <c r="A400" s="3" t="str">
        <f>"398"</f>
        <v>398</v>
      </c>
      <c r="B400" s="3" t="s">
        <v>356</v>
      </c>
      <c r="C400" s="3" t="str">
        <f>"先锋街道"</f>
        <v>先锋街道</v>
      </c>
      <c r="D400" s="3" t="str">
        <f>"新路村委会"</f>
        <v>新路村委会</v>
      </c>
      <c r="E400" s="3" t="str">
        <f t="shared" si="124"/>
        <v>140</v>
      </c>
      <c r="F400" s="3" t="str">
        <f t="shared" si="115"/>
        <v>100</v>
      </c>
      <c r="G400" s="3" t="str">
        <f t="shared" si="126"/>
        <v>二级</v>
      </c>
    </row>
    <row r="401" customHeight="1" spans="1:7">
      <c r="A401" s="3" t="str">
        <f>"399"</f>
        <v>399</v>
      </c>
      <c r="B401" s="3" t="s">
        <v>357</v>
      </c>
      <c r="C401" s="3" t="str">
        <f t="shared" ref="C401:C406" si="127">"金盆岭街道"</f>
        <v>金盆岭街道</v>
      </c>
      <c r="D401" s="3" t="str">
        <f>"涂新社区"</f>
        <v>涂新社区</v>
      </c>
      <c r="E401" s="3" t="str">
        <f t="shared" si="124"/>
        <v>140</v>
      </c>
      <c r="F401" s="3" t="str">
        <f t="shared" si="115"/>
        <v>100</v>
      </c>
      <c r="G401" s="3" t="str">
        <f t="shared" si="126"/>
        <v>二级</v>
      </c>
    </row>
    <row r="402" customHeight="1" spans="1:7">
      <c r="A402" s="3" t="str">
        <f>"400"</f>
        <v>400</v>
      </c>
      <c r="B402" s="3" t="s">
        <v>358</v>
      </c>
      <c r="C402" s="3" t="str">
        <f t="shared" si="127"/>
        <v>金盆岭街道</v>
      </c>
      <c r="D402" s="3" t="str">
        <f>"赤岭路社区"</f>
        <v>赤岭路社区</v>
      </c>
      <c r="E402" s="3" t="str">
        <f t="shared" si="124"/>
        <v>140</v>
      </c>
      <c r="F402" s="3" t="str">
        <f t="shared" si="115"/>
        <v>100</v>
      </c>
      <c r="G402" s="3" t="str">
        <f t="shared" si="126"/>
        <v>二级</v>
      </c>
    </row>
    <row r="403" customHeight="1" spans="1:7">
      <c r="A403" s="3" t="str">
        <f>"401"</f>
        <v>401</v>
      </c>
      <c r="B403" s="3" t="s">
        <v>359</v>
      </c>
      <c r="C403" s="3" t="str">
        <f>"裕南街街道"</f>
        <v>裕南街街道</v>
      </c>
      <c r="D403" s="3" t="str">
        <f>"杏花园社区"</f>
        <v>杏花园社区</v>
      </c>
      <c r="E403" s="3" t="str">
        <f t="shared" si="124"/>
        <v>140</v>
      </c>
      <c r="F403" s="3" t="str">
        <f t="shared" si="115"/>
        <v>100</v>
      </c>
      <c r="G403" s="3" t="str">
        <f t="shared" ref="G403:G407" si="128">"一级"</f>
        <v>一级</v>
      </c>
    </row>
    <row r="404" customHeight="1" spans="1:7">
      <c r="A404" s="3" t="str">
        <f>"402"</f>
        <v>402</v>
      </c>
      <c r="B404" s="3" t="s">
        <v>360</v>
      </c>
      <c r="C404" s="3" t="str">
        <f>"赤岭路街道"</f>
        <v>赤岭路街道</v>
      </c>
      <c r="D404" s="3" t="str">
        <f>"南大桥社区"</f>
        <v>南大桥社区</v>
      </c>
      <c r="E404" s="3" t="str">
        <f t="shared" si="124"/>
        <v>140</v>
      </c>
      <c r="F404" s="3" t="str">
        <f t="shared" si="115"/>
        <v>100</v>
      </c>
      <c r="G404" s="3" t="str">
        <f t="shared" ref="G404:G410" si="129">"二级"</f>
        <v>二级</v>
      </c>
    </row>
    <row r="405" customHeight="1" spans="1:7">
      <c r="A405" s="3" t="str">
        <f>"403"</f>
        <v>403</v>
      </c>
      <c r="B405" s="3" t="s">
        <v>361</v>
      </c>
      <c r="C405" s="3" t="str">
        <f t="shared" si="127"/>
        <v>金盆岭街道</v>
      </c>
      <c r="D405" s="3" t="str">
        <f>"黄土岭社区"</f>
        <v>黄土岭社区</v>
      </c>
      <c r="E405" s="3" t="str">
        <f t="shared" si="124"/>
        <v>140</v>
      </c>
      <c r="F405" s="3" t="str">
        <f t="shared" si="115"/>
        <v>100</v>
      </c>
      <c r="G405" s="3" t="str">
        <f t="shared" si="129"/>
        <v>二级</v>
      </c>
    </row>
    <row r="406" customHeight="1" spans="1:7">
      <c r="A406" s="3" t="str">
        <f>"404"</f>
        <v>404</v>
      </c>
      <c r="B406" s="3" t="s">
        <v>27</v>
      </c>
      <c r="C406" s="3" t="str">
        <f t="shared" si="127"/>
        <v>金盆岭街道</v>
      </c>
      <c r="D406" s="3" t="str">
        <f>"天剑社区"</f>
        <v>天剑社区</v>
      </c>
      <c r="E406" s="3" t="str">
        <f t="shared" si="124"/>
        <v>140</v>
      </c>
      <c r="F406" s="3" t="str">
        <f t="shared" si="115"/>
        <v>100</v>
      </c>
      <c r="G406" s="3" t="str">
        <f t="shared" si="128"/>
        <v>一级</v>
      </c>
    </row>
    <row r="407" customHeight="1" spans="1:7">
      <c r="A407" s="3" t="str">
        <f>"405"</f>
        <v>405</v>
      </c>
      <c r="B407" s="3" t="s">
        <v>362</v>
      </c>
      <c r="C407" s="3" t="str">
        <f>"赤岭路街道"</f>
        <v>赤岭路街道</v>
      </c>
      <c r="D407" s="3" t="str">
        <f>"广厦新村社区"</f>
        <v>广厦新村社区</v>
      </c>
      <c r="E407" s="3" t="str">
        <f t="shared" si="124"/>
        <v>140</v>
      </c>
      <c r="F407" s="3" t="str">
        <f t="shared" si="115"/>
        <v>100</v>
      </c>
      <c r="G407" s="3" t="str">
        <f t="shared" si="128"/>
        <v>一级</v>
      </c>
    </row>
    <row r="408" customHeight="1" spans="1:7">
      <c r="A408" s="3" t="str">
        <f>"406"</f>
        <v>406</v>
      </c>
      <c r="B408" s="3" t="s">
        <v>363</v>
      </c>
      <c r="C408" s="3" t="str">
        <f>"裕南街街道"</f>
        <v>裕南街街道</v>
      </c>
      <c r="D408" s="3" t="str">
        <f>"石子冲社区"</f>
        <v>石子冲社区</v>
      </c>
      <c r="E408" s="3" t="str">
        <f t="shared" si="124"/>
        <v>140</v>
      </c>
      <c r="F408" s="3" t="str">
        <f t="shared" si="115"/>
        <v>100</v>
      </c>
      <c r="G408" s="3" t="str">
        <f t="shared" si="129"/>
        <v>二级</v>
      </c>
    </row>
    <row r="409" customHeight="1" spans="1:7">
      <c r="A409" s="3" t="str">
        <f>"407"</f>
        <v>407</v>
      </c>
      <c r="B409" s="3" t="s">
        <v>364</v>
      </c>
      <c r="C409" s="3" t="str">
        <f>"金盆岭街道"</f>
        <v>金盆岭街道</v>
      </c>
      <c r="D409" s="3" t="str">
        <f>"天剑社区"</f>
        <v>天剑社区</v>
      </c>
      <c r="E409" s="3" t="str">
        <f t="shared" si="124"/>
        <v>140</v>
      </c>
      <c r="F409" s="3" t="str">
        <f t="shared" si="115"/>
        <v>100</v>
      </c>
      <c r="G409" s="3" t="str">
        <f t="shared" si="129"/>
        <v>二级</v>
      </c>
    </row>
    <row r="410" customHeight="1" spans="1:7">
      <c r="A410" s="3" t="str">
        <f>"408"</f>
        <v>408</v>
      </c>
      <c r="B410" s="3" t="s">
        <v>365</v>
      </c>
      <c r="C410" s="3" t="str">
        <f>"坡子街街道"</f>
        <v>坡子街街道</v>
      </c>
      <c r="D410" s="3" t="str">
        <f>"碧湘社区"</f>
        <v>碧湘社区</v>
      </c>
      <c r="E410" s="3" t="str">
        <f t="shared" si="124"/>
        <v>140</v>
      </c>
      <c r="F410" s="3" t="str">
        <f t="shared" si="115"/>
        <v>100</v>
      </c>
      <c r="G410" s="3" t="str">
        <f t="shared" si="129"/>
        <v>二级</v>
      </c>
    </row>
    <row r="411" customHeight="1" spans="1:7">
      <c r="A411" s="3" t="str">
        <f>"409"</f>
        <v>409</v>
      </c>
      <c r="B411" s="3" t="s">
        <v>366</v>
      </c>
      <c r="C411" s="3" t="str">
        <f>"青园街道"</f>
        <v>青园街道</v>
      </c>
      <c r="D411" s="3" t="str">
        <f>"井湾子社区"</f>
        <v>井湾子社区</v>
      </c>
      <c r="E411" s="3" t="str">
        <f t="shared" si="124"/>
        <v>140</v>
      </c>
      <c r="F411" s="3" t="str">
        <f t="shared" si="115"/>
        <v>100</v>
      </c>
      <c r="G411" s="3" t="str">
        <f t="shared" ref="G411:G424" si="130">"一级"</f>
        <v>一级</v>
      </c>
    </row>
    <row r="412" customHeight="1" spans="1:7">
      <c r="A412" s="3" t="str">
        <f>"410"</f>
        <v>410</v>
      </c>
      <c r="B412" s="3" t="s">
        <v>70</v>
      </c>
      <c r="C412" s="3" t="str">
        <f>"城南路街道"</f>
        <v>城南路街道</v>
      </c>
      <c r="D412" s="3" t="str">
        <f>"古道巷社区"</f>
        <v>古道巷社区</v>
      </c>
      <c r="E412" s="3" t="str">
        <f t="shared" si="124"/>
        <v>140</v>
      </c>
      <c r="F412" s="3" t="str">
        <f t="shared" si="115"/>
        <v>100</v>
      </c>
      <c r="G412" s="3" t="str">
        <f t="shared" ref="G412:G415" si="131">"二级"</f>
        <v>二级</v>
      </c>
    </row>
    <row r="413" customHeight="1" spans="1:7">
      <c r="A413" s="3" t="str">
        <f>"411"</f>
        <v>411</v>
      </c>
      <c r="B413" s="3" t="s">
        <v>367</v>
      </c>
      <c r="C413" s="3" t="str">
        <f>"金盆岭街道"</f>
        <v>金盆岭街道</v>
      </c>
      <c r="D413" s="3" t="str">
        <f>"夏家冲社区"</f>
        <v>夏家冲社区</v>
      </c>
      <c r="E413" s="3" t="str">
        <f t="shared" si="124"/>
        <v>140</v>
      </c>
      <c r="F413" s="3" t="str">
        <f t="shared" si="115"/>
        <v>100</v>
      </c>
      <c r="G413" s="3" t="str">
        <f t="shared" si="130"/>
        <v>一级</v>
      </c>
    </row>
    <row r="414" customHeight="1" spans="1:7">
      <c r="A414" s="3" t="str">
        <f>"412"</f>
        <v>412</v>
      </c>
      <c r="B414" s="3" t="s">
        <v>32</v>
      </c>
      <c r="C414" s="3" t="str">
        <f>"坡子街街道"</f>
        <v>坡子街街道</v>
      </c>
      <c r="D414" s="3" t="str">
        <f>"坡子街社区"</f>
        <v>坡子街社区</v>
      </c>
      <c r="E414" s="3" t="str">
        <f t="shared" si="124"/>
        <v>140</v>
      </c>
      <c r="F414" s="3" t="str">
        <f t="shared" si="115"/>
        <v>100</v>
      </c>
      <c r="G414" s="3" t="str">
        <f t="shared" si="131"/>
        <v>二级</v>
      </c>
    </row>
    <row r="415" customHeight="1" spans="1:7">
      <c r="A415" s="3" t="str">
        <f>"413"</f>
        <v>413</v>
      </c>
      <c r="B415" s="3" t="s">
        <v>368</v>
      </c>
      <c r="C415" s="3" t="str">
        <f>"文源街道"</f>
        <v>文源街道</v>
      </c>
      <c r="D415" s="3" t="str">
        <f>"梅岭社区"</f>
        <v>梅岭社区</v>
      </c>
      <c r="E415" s="3" t="str">
        <f t="shared" si="124"/>
        <v>140</v>
      </c>
      <c r="F415" s="3" t="str">
        <f t="shared" si="115"/>
        <v>100</v>
      </c>
      <c r="G415" s="3" t="str">
        <f t="shared" si="131"/>
        <v>二级</v>
      </c>
    </row>
    <row r="416" customHeight="1" spans="1:7">
      <c r="A416" s="3" t="str">
        <f>"414"</f>
        <v>414</v>
      </c>
      <c r="B416" s="3" t="s">
        <v>369</v>
      </c>
      <c r="C416" s="3" t="str">
        <f>"金盆岭街道"</f>
        <v>金盆岭街道</v>
      </c>
      <c r="D416" s="3" t="str">
        <f>"夏家冲社区"</f>
        <v>夏家冲社区</v>
      </c>
      <c r="E416" s="3" t="str">
        <f t="shared" si="124"/>
        <v>140</v>
      </c>
      <c r="F416" s="3" t="str">
        <f t="shared" si="115"/>
        <v>100</v>
      </c>
      <c r="G416" s="3" t="str">
        <f t="shared" si="130"/>
        <v>一级</v>
      </c>
    </row>
    <row r="417" customHeight="1" spans="1:7">
      <c r="A417" s="3" t="str">
        <f>"415"</f>
        <v>415</v>
      </c>
      <c r="B417" s="3" t="s">
        <v>370</v>
      </c>
      <c r="C417" s="3" t="str">
        <f>"裕南街街道"</f>
        <v>裕南街街道</v>
      </c>
      <c r="D417" s="3" t="str">
        <f>"杏花园社区"</f>
        <v>杏花园社区</v>
      </c>
      <c r="E417" s="3" t="str">
        <f t="shared" si="124"/>
        <v>140</v>
      </c>
      <c r="F417" s="3" t="str">
        <f t="shared" si="115"/>
        <v>100</v>
      </c>
      <c r="G417" s="3" t="str">
        <f t="shared" si="130"/>
        <v>一级</v>
      </c>
    </row>
    <row r="418" customHeight="1" spans="1:7">
      <c r="A418" s="3" t="str">
        <f>"416"</f>
        <v>416</v>
      </c>
      <c r="B418" s="3" t="s">
        <v>371</v>
      </c>
      <c r="C418" s="3" t="str">
        <f>"新开铺街道"</f>
        <v>新开铺街道</v>
      </c>
      <c r="D418" s="3" t="str">
        <f>"石人村委会"</f>
        <v>石人村委会</v>
      </c>
      <c r="E418" s="3" t="str">
        <f t="shared" si="124"/>
        <v>140</v>
      </c>
      <c r="F418" s="3" t="str">
        <f t="shared" si="115"/>
        <v>100</v>
      </c>
      <c r="G418" s="3" t="str">
        <f t="shared" si="130"/>
        <v>一级</v>
      </c>
    </row>
    <row r="419" customHeight="1" spans="1:7">
      <c r="A419" s="3" t="str">
        <f>"417"</f>
        <v>417</v>
      </c>
      <c r="B419" s="3" t="s">
        <v>372</v>
      </c>
      <c r="C419" s="3" t="str">
        <f>"桂花坪街道"</f>
        <v>桂花坪街道</v>
      </c>
      <c r="D419" s="3" t="str">
        <f>"金桂社区"</f>
        <v>金桂社区</v>
      </c>
      <c r="E419" s="3" t="str">
        <f t="shared" si="124"/>
        <v>140</v>
      </c>
      <c r="F419" s="3" t="str">
        <f t="shared" si="115"/>
        <v>100</v>
      </c>
      <c r="G419" s="3" t="str">
        <f t="shared" si="130"/>
        <v>一级</v>
      </c>
    </row>
    <row r="420" customHeight="1" spans="1:7">
      <c r="A420" s="3" t="str">
        <f>"418"</f>
        <v>418</v>
      </c>
      <c r="B420" s="3" t="s">
        <v>373</v>
      </c>
      <c r="C420" s="3" t="str">
        <f>"先锋街道"</f>
        <v>先锋街道</v>
      </c>
      <c r="D420" s="3" t="str">
        <f>"新宇社区"</f>
        <v>新宇社区</v>
      </c>
      <c r="E420" s="3" t="str">
        <f t="shared" si="124"/>
        <v>140</v>
      </c>
      <c r="F420" s="3" t="str">
        <f t="shared" si="115"/>
        <v>100</v>
      </c>
      <c r="G420" s="3" t="str">
        <f t="shared" si="130"/>
        <v>一级</v>
      </c>
    </row>
    <row r="421" customHeight="1" spans="1:7">
      <c r="A421" s="3" t="str">
        <f>"419"</f>
        <v>419</v>
      </c>
      <c r="B421" s="3" t="s">
        <v>374</v>
      </c>
      <c r="C421" s="3" t="str">
        <f>"坡子街街道"</f>
        <v>坡子街街道</v>
      </c>
      <c r="D421" s="3" t="str">
        <f>"坡子街社区"</f>
        <v>坡子街社区</v>
      </c>
      <c r="E421" s="3" t="str">
        <f t="shared" si="124"/>
        <v>140</v>
      </c>
      <c r="F421" s="3" t="str">
        <f t="shared" si="115"/>
        <v>100</v>
      </c>
      <c r="G421" s="3" t="str">
        <f t="shared" si="130"/>
        <v>一级</v>
      </c>
    </row>
    <row r="422" customHeight="1" spans="1:7">
      <c r="A422" s="3" t="str">
        <f>"420"</f>
        <v>420</v>
      </c>
      <c r="B422" s="3" t="s">
        <v>375</v>
      </c>
      <c r="C422" s="3" t="str">
        <f>"坡子街街道"</f>
        <v>坡子街街道</v>
      </c>
      <c r="D422" s="3" t="str">
        <f>"文庙坪社区"</f>
        <v>文庙坪社区</v>
      </c>
      <c r="E422" s="3" t="str">
        <f t="shared" si="124"/>
        <v>140</v>
      </c>
      <c r="F422" s="3" t="str">
        <f t="shared" si="115"/>
        <v>100</v>
      </c>
      <c r="G422" s="3" t="str">
        <f t="shared" si="130"/>
        <v>一级</v>
      </c>
    </row>
    <row r="423" customHeight="1" spans="1:7">
      <c r="A423" s="3" t="str">
        <f>"421"</f>
        <v>421</v>
      </c>
      <c r="B423" s="3" t="s">
        <v>376</v>
      </c>
      <c r="C423" s="3" t="str">
        <f>"裕南街街道"</f>
        <v>裕南街街道</v>
      </c>
      <c r="D423" s="3" t="str">
        <f>"长坡社区"</f>
        <v>长坡社区</v>
      </c>
      <c r="E423" s="3" t="str">
        <f t="shared" si="124"/>
        <v>140</v>
      </c>
      <c r="F423" s="3" t="str">
        <f t="shared" si="115"/>
        <v>100</v>
      </c>
      <c r="G423" s="3" t="str">
        <f t="shared" si="130"/>
        <v>一级</v>
      </c>
    </row>
    <row r="424" customHeight="1" spans="1:7">
      <c r="A424" s="3" t="str">
        <f>"422"</f>
        <v>422</v>
      </c>
      <c r="B424" s="3" t="s">
        <v>377</v>
      </c>
      <c r="C424" s="3" t="str">
        <f>"裕南街街道"</f>
        <v>裕南街街道</v>
      </c>
      <c r="D424" s="3" t="str">
        <f>"宝塔山社区"</f>
        <v>宝塔山社区</v>
      </c>
      <c r="E424" s="3" t="str">
        <f t="shared" si="124"/>
        <v>140</v>
      </c>
      <c r="F424" s="3" t="str">
        <f t="shared" si="115"/>
        <v>100</v>
      </c>
      <c r="G424" s="3" t="str">
        <f t="shared" si="130"/>
        <v>一级</v>
      </c>
    </row>
    <row r="425" customHeight="1" spans="1:7">
      <c r="A425" s="3" t="str">
        <f>"423"</f>
        <v>423</v>
      </c>
      <c r="B425" s="3" t="s">
        <v>378</v>
      </c>
      <c r="C425" s="3" t="str">
        <f>"大托铺街道"</f>
        <v>大托铺街道</v>
      </c>
      <c r="D425" s="3" t="str">
        <f>"桂井村委会"</f>
        <v>桂井村委会</v>
      </c>
      <c r="E425" s="3" t="str">
        <f t="shared" si="124"/>
        <v>140</v>
      </c>
      <c r="F425" s="3" t="str">
        <f t="shared" si="115"/>
        <v>100</v>
      </c>
      <c r="G425" s="3" t="str">
        <f t="shared" ref="G425:G427" si="132">"二级"</f>
        <v>二级</v>
      </c>
    </row>
    <row r="426" customHeight="1" spans="1:7">
      <c r="A426" s="3" t="str">
        <f>"424"</f>
        <v>424</v>
      </c>
      <c r="B426" s="3" t="s">
        <v>379</v>
      </c>
      <c r="C426" s="3" t="str">
        <f t="shared" ref="C426:C430" si="133">"暮云街道"</f>
        <v>暮云街道</v>
      </c>
      <c r="D426" s="3" t="str">
        <f>"许兴村"</f>
        <v>许兴村</v>
      </c>
      <c r="E426" s="3" t="str">
        <f t="shared" si="124"/>
        <v>140</v>
      </c>
      <c r="F426" s="3" t="str">
        <f t="shared" si="115"/>
        <v>100</v>
      </c>
      <c r="G426" s="3" t="str">
        <f t="shared" si="132"/>
        <v>二级</v>
      </c>
    </row>
    <row r="427" customHeight="1" spans="1:7">
      <c r="A427" s="3" t="str">
        <f>"425"</f>
        <v>425</v>
      </c>
      <c r="B427" s="3" t="s">
        <v>380</v>
      </c>
      <c r="C427" s="3" t="str">
        <f t="shared" si="133"/>
        <v>暮云街道</v>
      </c>
      <c r="D427" s="3" t="str">
        <f>"许兴村"</f>
        <v>许兴村</v>
      </c>
      <c r="E427" s="3" t="str">
        <f t="shared" si="124"/>
        <v>140</v>
      </c>
      <c r="F427" s="3" t="str">
        <f t="shared" si="115"/>
        <v>100</v>
      </c>
      <c r="G427" s="3" t="str">
        <f t="shared" si="132"/>
        <v>二级</v>
      </c>
    </row>
    <row r="428" customHeight="1" spans="1:7">
      <c r="A428" s="3" t="str">
        <f>"426"</f>
        <v>426</v>
      </c>
      <c r="B428" s="3" t="s">
        <v>381</v>
      </c>
      <c r="C428" s="3" t="str">
        <f t="shared" ref="C428:C433" si="134">"南托街道"</f>
        <v>南托街道</v>
      </c>
      <c r="D428" s="3" t="str">
        <f>"沿江村"</f>
        <v>沿江村</v>
      </c>
      <c r="E428" s="3" t="str">
        <f t="shared" si="124"/>
        <v>140</v>
      </c>
      <c r="F428" s="3" t="str">
        <f t="shared" si="115"/>
        <v>100</v>
      </c>
      <c r="G428" s="3" t="str">
        <f>"一级"</f>
        <v>一级</v>
      </c>
    </row>
    <row r="429" customHeight="1" spans="1:7">
      <c r="A429" s="3" t="str">
        <f>"427"</f>
        <v>427</v>
      </c>
      <c r="B429" s="3" t="s">
        <v>139</v>
      </c>
      <c r="C429" s="3" t="str">
        <f t="shared" si="133"/>
        <v>暮云街道</v>
      </c>
      <c r="D429" s="3" t="str">
        <f>"莲华村"</f>
        <v>莲华村</v>
      </c>
      <c r="E429" s="3" t="str">
        <f t="shared" si="124"/>
        <v>140</v>
      </c>
      <c r="F429" s="3" t="str">
        <f t="shared" ref="F429:F492" si="135">"100"</f>
        <v>100</v>
      </c>
      <c r="G429" s="3" t="str">
        <f>"一级"</f>
        <v>一级</v>
      </c>
    </row>
    <row r="430" customHeight="1" spans="1:7">
      <c r="A430" s="3" t="str">
        <f>"428"</f>
        <v>428</v>
      </c>
      <c r="B430" s="3" t="s">
        <v>129</v>
      </c>
      <c r="C430" s="3" t="str">
        <f t="shared" si="133"/>
        <v>暮云街道</v>
      </c>
      <c r="D430" s="3" t="str">
        <f>"莲华村"</f>
        <v>莲华村</v>
      </c>
      <c r="E430" s="3" t="str">
        <f t="shared" si="124"/>
        <v>140</v>
      </c>
      <c r="F430" s="3" t="str">
        <f t="shared" si="135"/>
        <v>100</v>
      </c>
      <c r="G430" s="3" t="str">
        <f t="shared" ref="G430:G435" si="136">"二级"</f>
        <v>二级</v>
      </c>
    </row>
    <row r="431" customHeight="1" spans="1:7">
      <c r="A431" s="3" t="str">
        <f>"429"</f>
        <v>429</v>
      </c>
      <c r="B431" s="3" t="s">
        <v>382</v>
      </c>
      <c r="C431" s="3" t="str">
        <f t="shared" si="134"/>
        <v>南托街道</v>
      </c>
      <c r="D431" s="3" t="str">
        <f>"滨洲新村"</f>
        <v>滨洲新村</v>
      </c>
      <c r="E431" s="3" t="str">
        <f t="shared" si="124"/>
        <v>140</v>
      </c>
      <c r="F431" s="3" t="str">
        <f t="shared" si="135"/>
        <v>100</v>
      </c>
      <c r="G431" s="3" t="str">
        <f t="shared" si="136"/>
        <v>二级</v>
      </c>
    </row>
    <row r="432" customHeight="1" spans="1:7">
      <c r="A432" s="3" t="str">
        <f>"430"</f>
        <v>430</v>
      </c>
      <c r="B432" s="3" t="s">
        <v>383</v>
      </c>
      <c r="C432" s="3" t="str">
        <f>"暮云街道"</f>
        <v>暮云街道</v>
      </c>
      <c r="D432" s="3" t="str">
        <f>"暮云社区"</f>
        <v>暮云社区</v>
      </c>
      <c r="E432" s="3" t="str">
        <f t="shared" si="124"/>
        <v>140</v>
      </c>
      <c r="F432" s="3" t="str">
        <f t="shared" si="135"/>
        <v>100</v>
      </c>
      <c r="G432" s="3" t="str">
        <f t="shared" si="136"/>
        <v>二级</v>
      </c>
    </row>
    <row r="433" customHeight="1" spans="1:7">
      <c r="A433" s="3" t="str">
        <f>"431"</f>
        <v>431</v>
      </c>
      <c r="B433" s="3" t="s">
        <v>130</v>
      </c>
      <c r="C433" s="3" t="str">
        <f t="shared" si="134"/>
        <v>南托街道</v>
      </c>
      <c r="D433" s="3" t="str">
        <f>"滨洲新村"</f>
        <v>滨洲新村</v>
      </c>
      <c r="E433" s="3" t="str">
        <f t="shared" si="124"/>
        <v>140</v>
      </c>
      <c r="F433" s="3" t="str">
        <f t="shared" si="135"/>
        <v>100</v>
      </c>
      <c r="G433" s="3" t="str">
        <f t="shared" si="136"/>
        <v>二级</v>
      </c>
    </row>
    <row r="434" customHeight="1" spans="1:7">
      <c r="A434" s="3" t="str">
        <f>"432"</f>
        <v>432</v>
      </c>
      <c r="B434" s="3" t="s">
        <v>384</v>
      </c>
      <c r="C434" s="3" t="str">
        <f>"新开铺街道"</f>
        <v>新开铺街道</v>
      </c>
      <c r="D434" s="3" t="str">
        <f>"新开铺社区"</f>
        <v>新开铺社区</v>
      </c>
      <c r="E434" s="3" t="str">
        <f t="shared" si="124"/>
        <v>140</v>
      </c>
      <c r="F434" s="3" t="str">
        <f t="shared" si="135"/>
        <v>100</v>
      </c>
      <c r="G434" s="3" t="str">
        <f t="shared" si="136"/>
        <v>二级</v>
      </c>
    </row>
    <row r="435" customHeight="1" spans="1:7">
      <c r="A435" s="3" t="str">
        <f>"433"</f>
        <v>433</v>
      </c>
      <c r="B435" s="3" t="s">
        <v>385</v>
      </c>
      <c r="C435" s="3" t="str">
        <f t="shared" ref="C435:C440" si="137">"裕南街街道"</f>
        <v>裕南街街道</v>
      </c>
      <c r="D435" s="3" t="str">
        <f>"向东南社区"</f>
        <v>向东南社区</v>
      </c>
      <c r="E435" s="3" t="str">
        <f t="shared" si="124"/>
        <v>140</v>
      </c>
      <c r="F435" s="3" t="str">
        <f t="shared" si="135"/>
        <v>100</v>
      </c>
      <c r="G435" s="3" t="str">
        <f t="shared" si="136"/>
        <v>二级</v>
      </c>
    </row>
    <row r="436" customHeight="1" spans="1:7">
      <c r="A436" s="3" t="str">
        <f>"434"</f>
        <v>434</v>
      </c>
      <c r="B436" s="3" t="s">
        <v>386</v>
      </c>
      <c r="C436" s="3" t="str">
        <f t="shared" si="137"/>
        <v>裕南街街道</v>
      </c>
      <c r="D436" s="3" t="str">
        <f>"东瓜山社区"</f>
        <v>东瓜山社区</v>
      </c>
      <c r="E436" s="3" t="str">
        <f t="shared" si="124"/>
        <v>140</v>
      </c>
      <c r="F436" s="3" t="str">
        <f t="shared" si="135"/>
        <v>100</v>
      </c>
      <c r="G436" s="3" t="str">
        <f>"一级"</f>
        <v>一级</v>
      </c>
    </row>
    <row r="437" customHeight="1" spans="1:7">
      <c r="A437" s="3" t="str">
        <f>"435"</f>
        <v>435</v>
      </c>
      <c r="B437" s="3" t="s">
        <v>139</v>
      </c>
      <c r="C437" s="3" t="str">
        <f>"金盆岭街道"</f>
        <v>金盆岭街道</v>
      </c>
      <c r="D437" s="3" t="str">
        <f>"天剑社区"</f>
        <v>天剑社区</v>
      </c>
      <c r="E437" s="3" t="str">
        <f t="shared" si="124"/>
        <v>140</v>
      </c>
      <c r="F437" s="3" t="str">
        <f t="shared" si="135"/>
        <v>100</v>
      </c>
      <c r="G437" s="3" t="str">
        <f t="shared" ref="G437:G441" si="138">"二级"</f>
        <v>二级</v>
      </c>
    </row>
    <row r="438" customHeight="1" spans="1:7">
      <c r="A438" s="3" t="str">
        <f>"436"</f>
        <v>436</v>
      </c>
      <c r="B438" s="3" t="s">
        <v>68</v>
      </c>
      <c r="C438" s="3" t="str">
        <f>"青园街道"</f>
        <v>青园街道</v>
      </c>
      <c r="D438" s="3" t="str">
        <f>"井湾子社区"</f>
        <v>井湾子社区</v>
      </c>
      <c r="E438" s="3" t="str">
        <f t="shared" si="124"/>
        <v>140</v>
      </c>
      <c r="F438" s="3" t="str">
        <f t="shared" si="135"/>
        <v>100</v>
      </c>
      <c r="G438" s="3" t="str">
        <f t="shared" si="138"/>
        <v>二级</v>
      </c>
    </row>
    <row r="439" customHeight="1" spans="1:7">
      <c r="A439" s="3" t="str">
        <f>"437"</f>
        <v>437</v>
      </c>
      <c r="B439" s="3" t="s">
        <v>387</v>
      </c>
      <c r="C439" s="3" t="str">
        <f>"金盆岭街道"</f>
        <v>金盆岭街道</v>
      </c>
      <c r="D439" s="3" t="str">
        <f>"狮子山社区"</f>
        <v>狮子山社区</v>
      </c>
      <c r="E439" s="3" t="str">
        <f t="shared" si="124"/>
        <v>140</v>
      </c>
      <c r="F439" s="3" t="str">
        <f t="shared" si="135"/>
        <v>100</v>
      </c>
      <c r="G439" s="3" t="str">
        <f t="shared" si="138"/>
        <v>二级</v>
      </c>
    </row>
    <row r="440" customHeight="1" spans="1:7">
      <c r="A440" s="3" t="str">
        <f>"438"</f>
        <v>438</v>
      </c>
      <c r="B440" s="3" t="s">
        <v>388</v>
      </c>
      <c r="C440" s="3" t="str">
        <f t="shared" si="137"/>
        <v>裕南街街道</v>
      </c>
      <c r="D440" s="3" t="str">
        <f>"仰天湖社区"</f>
        <v>仰天湖社区</v>
      </c>
      <c r="E440" s="3" t="str">
        <f t="shared" si="124"/>
        <v>140</v>
      </c>
      <c r="F440" s="3" t="str">
        <f t="shared" si="135"/>
        <v>100</v>
      </c>
      <c r="G440" s="3" t="str">
        <f t="shared" si="138"/>
        <v>二级</v>
      </c>
    </row>
    <row r="441" customHeight="1" spans="1:7">
      <c r="A441" s="3" t="str">
        <f>"439"</f>
        <v>439</v>
      </c>
      <c r="B441" s="3" t="s">
        <v>32</v>
      </c>
      <c r="C441" s="3" t="str">
        <f>"城南路街道"</f>
        <v>城南路街道</v>
      </c>
      <c r="D441" s="3" t="str">
        <f>"工农桥社区"</f>
        <v>工农桥社区</v>
      </c>
      <c r="E441" s="3" t="str">
        <f t="shared" si="124"/>
        <v>140</v>
      </c>
      <c r="F441" s="3" t="str">
        <f t="shared" si="135"/>
        <v>100</v>
      </c>
      <c r="G441" s="3" t="str">
        <f t="shared" si="138"/>
        <v>二级</v>
      </c>
    </row>
    <row r="442" customHeight="1" spans="1:7">
      <c r="A442" s="3" t="str">
        <f>"440"</f>
        <v>440</v>
      </c>
      <c r="B442" s="3" t="s">
        <v>125</v>
      </c>
      <c r="C442" s="3" t="str">
        <f>"裕南街街道"</f>
        <v>裕南街街道</v>
      </c>
      <c r="D442" s="3" t="str">
        <f>"东瓜山社区"</f>
        <v>东瓜山社区</v>
      </c>
      <c r="E442" s="3" t="str">
        <f t="shared" si="124"/>
        <v>140</v>
      </c>
      <c r="F442" s="3" t="str">
        <f t="shared" si="135"/>
        <v>100</v>
      </c>
      <c r="G442" s="3" t="str">
        <f t="shared" ref="G442:G448" si="139">"一级"</f>
        <v>一级</v>
      </c>
    </row>
    <row r="443" customHeight="1" spans="1:7">
      <c r="A443" s="3" t="str">
        <f>"441"</f>
        <v>441</v>
      </c>
      <c r="B443" s="3" t="s">
        <v>140</v>
      </c>
      <c r="C443" s="3" t="str">
        <f>"城南路街道"</f>
        <v>城南路街道</v>
      </c>
      <c r="D443" s="3" t="str">
        <f>"熙台岭社区"</f>
        <v>熙台岭社区</v>
      </c>
      <c r="E443" s="3" t="str">
        <f t="shared" si="124"/>
        <v>140</v>
      </c>
      <c r="F443" s="3" t="str">
        <f t="shared" si="135"/>
        <v>100</v>
      </c>
      <c r="G443" s="3" t="str">
        <f>"二级"</f>
        <v>二级</v>
      </c>
    </row>
    <row r="444" customHeight="1" spans="1:7">
      <c r="A444" s="3" t="str">
        <f>"442"</f>
        <v>442</v>
      </c>
      <c r="B444" s="3" t="s">
        <v>389</v>
      </c>
      <c r="C444" s="3" t="str">
        <f t="shared" ref="C444:C447" si="140">"大托铺街道"</f>
        <v>大托铺街道</v>
      </c>
      <c r="D444" s="3" t="str">
        <f>"新港村委会"</f>
        <v>新港村委会</v>
      </c>
      <c r="E444" s="3" t="str">
        <f t="shared" si="124"/>
        <v>140</v>
      </c>
      <c r="F444" s="3" t="str">
        <f t="shared" si="135"/>
        <v>100</v>
      </c>
      <c r="G444" s="3" t="str">
        <f>"二级"</f>
        <v>二级</v>
      </c>
    </row>
    <row r="445" customHeight="1" spans="1:7">
      <c r="A445" s="3" t="str">
        <f>"443"</f>
        <v>443</v>
      </c>
      <c r="B445" s="3" t="s">
        <v>129</v>
      </c>
      <c r="C445" s="3" t="str">
        <f t="shared" si="140"/>
        <v>大托铺街道</v>
      </c>
      <c r="D445" s="3" t="str">
        <f>"桂井村委会"</f>
        <v>桂井村委会</v>
      </c>
      <c r="E445" s="3" t="str">
        <f t="shared" si="124"/>
        <v>140</v>
      </c>
      <c r="F445" s="3" t="str">
        <f t="shared" si="135"/>
        <v>100</v>
      </c>
      <c r="G445" s="3" t="str">
        <f t="shared" si="139"/>
        <v>一级</v>
      </c>
    </row>
    <row r="446" customHeight="1" spans="1:7">
      <c r="A446" s="3" t="str">
        <f>"444"</f>
        <v>444</v>
      </c>
      <c r="B446" s="3" t="s">
        <v>390</v>
      </c>
      <c r="C446" s="3" t="str">
        <f t="shared" si="140"/>
        <v>大托铺街道</v>
      </c>
      <c r="D446" s="3" t="str">
        <f>"新港村委会"</f>
        <v>新港村委会</v>
      </c>
      <c r="E446" s="3" t="str">
        <f t="shared" si="124"/>
        <v>140</v>
      </c>
      <c r="F446" s="3" t="str">
        <f t="shared" si="135"/>
        <v>100</v>
      </c>
      <c r="G446" s="3" t="str">
        <f t="shared" si="139"/>
        <v>一级</v>
      </c>
    </row>
    <row r="447" customHeight="1" spans="1:7">
      <c r="A447" s="3" t="str">
        <f>"445"</f>
        <v>445</v>
      </c>
      <c r="B447" s="3" t="s">
        <v>391</v>
      </c>
      <c r="C447" s="3" t="str">
        <f t="shared" si="140"/>
        <v>大托铺街道</v>
      </c>
      <c r="D447" s="3" t="str">
        <f>"桂井村委会"</f>
        <v>桂井村委会</v>
      </c>
      <c r="E447" s="3" t="str">
        <f t="shared" si="124"/>
        <v>140</v>
      </c>
      <c r="F447" s="3" t="str">
        <f t="shared" si="135"/>
        <v>100</v>
      </c>
      <c r="G447" s="3" t="str">
        <f t="shared" si="139"/>
        <v>一级</v>
      </c>
    </row>
    <row r="448" customHeight="1" spans="1:7">
      <c r="A448" s="3" t="str">
        <f>"446"</f>
        <v>446</v>
      </c>
      <c r="B448" s="3" t="s">
        <v>392</v>
      </c>
      <c r="C448" s="3" t="str">
        <f>"先锋街道"</f>
        <v>先锋街道</v>
      </c>
      <c r="D448" s="3" t="str">
        <f>"新宇社区"</f>
        <v>新宇社区</v>
      </c>
      <c r="E448" s="3" t="str">
        <f t="shared" si="124"/>
        <v>140</v>
      </c>
      <c r="F448" s="3" t="str">
        <f t="shared" si="135"/>
        <v>100</v>
      </c>
      <c r="G448" s="3" t="str">
        <f t="shared" si="139"/>
        <v>一级</v>
      </c>
    </row>
    <row r="449" customHeight="1" spans="1:7">
      <c r="A449" s="3" t="str">
        <f>"447"</f>
        <v>447</v>
      </c>
      <c r="B449" s="3" t="s">
        <v>393</v>
      </c>
      <c r="C449" s="3" t="str">
        <f>"文源街道"</f>
        <v>文源街道</v>
      </c>
      <c r="D449" s="3" t="str">
        <f>"天鸿社区"</f>
        <v>天鸿社区</v>
      </c>
      <c r="E449" s="3" t="str">
        <f t="shared" si="124"/>
        <v>140</v>
      </c>
      <c r="F449" s="3" t="str">
        <f t="shared" si="135"/>
        <v>100</v>
      </c>
      <c r="G449" s="3" t="str">
        <f t="shared" ref="G449:G459" si="141">"二级"</f>
        <v>二级</v>
      </c>
    </row>
    <row r="450" customHeight="1" spans="1:7">
      <c r="A450" s="3" t="str">
        <f>"448"</f>
        <v>448</v>
      </c>
      <c r="B450" s="3" t="s">
        <v>394</v>
      </c>
      <c r="C450" s="3" t="str">
        <f>"新开铺街道"</f>
        <v>新开铺街道</v>
      </c>
      <c r="D450" s="3" t="str">
        <f>"石人村委会"</f>
        <v>石人村委会</v>
      </c>
      <c r="E450" s="3" t="str">
        <f t="shared" si="124"/>
        <v>140</v>
      </c>
      <c r="F450" s="3" t="str">
        <f t="shared" si="135"/>
        <v>100</v>
      </c>
      <c r="G450" s="3" t="str">
        <f>"一级"</f>
        <v>一级</v>
      </c>
    </row>
    <row r="451" customHeight="1" spans="1:7">
      <c r="A451" s="3" t="str">
        <f>"449"</f>
        <v>449</v>
      </c>
      <c r="B451" s="3" t="s">
        <v>395</v>
      </c>
      <c r="C451" s="3" t="str">
        <f>"赤岭路街道"</f>
        <v>赤岭路街道</v>
      </c>
      <c r="D451" s="3" t="str">
        <f>"广厦新村社区"</f>
        <v>广厦新村社区</v>
      </c>
      <c r="E451" s="3" t="str">
        <f t="shared" ref="E451:E514" si="142">"140"</f>
        <v>140</v>
      </c>
      <c r="F451" s="3" t="str">
        <f t="shared" si="135"/>
        <v>100</v>
      </c>
      <c r="G451" s="3" t="str">
        <f t="shared" si="141"/>
        <v>二级</v>
      </c>
    </row>
    <row r="452" customHeight="1" spans="1:7">
      <c r="A452" s="3" t="str">
        <f>"450"</f>
        <v>450</v>
      </c>
      <c r="B452" s="3" t="s">
        <v>396</v>
      </c>
      <c r="C452" s="3" t="str">
        <f>"南托街道"</f>
        <v>南托街道</v>
      </c>
      <c r="D452" s="3" t="str">
        <f>"牛角塘村"</f>
        <v>牛角塘村</v>
      </c>
      <c r="E452" s="3" t="str">
        <f t="shared" si="142"/>
        <v>140</v>
      </c>
      <c r="F452" s="3" t="str">
        <f t="shared" si="135"/>
        <v>100</v>
      </c>
      <c r="G452" s="3" t="str">
        <f>"一级"</f>
        <v>一级</v>
      </c>
    </row>
    <row r="453" customHeight="1" spans="1:7">
      <c r="A453" s="3" t="str">
        <f>"451"</f>
        <v>451</v>
      </c>
      <c r="B453" s="3" t="s">
        <v>397</v>
      </c>
      <c r="C453" s="3" t="str">
        <f>"先锋街道"</f>
        <v>先锋街道</v>
      </c>
      <c r="D453" s="3" t="str">
        <f>"新宇社区"</f>
        <v>新宇社区</v>
      </c>
      <c r="E453" s="3" t="str">
        <f t="shared" si="142"/>
        <v>140</v>
      </c>
      <c r="F453" s="3" t="str">
        <f t="shared" si="135"/>
        <v>100</v>
      </c>
      <c r="G453" s="3" t="str">
        <f t="shared" si="141"/>
        <v>二级</v>
      </c>
    </row>
    <row r="454" customHeight="1" spans="1:7">
      <c r="A454" s="3" t="str">
        <f>"452"</f>
        <v>452</v>
      </c>
      <c r="B454" s="3" t="s">
        <v>398</v>
      </c>
      <c r="C454" s="3" t="str">
        <f>"南托街道"</f>
        <v>南托街道</v>
      </c>
      <c r="D454" s="3" t="str">
        <f>"牛角塘村"</f>
        <v>牛角塘村</v>
      </c>
      <c r="E454" s="3" t="str">
        <f t="shared" si="142"/>
        <v>140</v>
      </c>
      <c r="F454" s="3" t="str">
        <f t="shared" si="135"/>
        <v>100</v>
      </c>
      <c r="G454" s="3" t="str">
        <f t="shared" si="141"/>
        <v>二级</v>
      </c>
    </row>
    <row r="455" customHeight="1" spans="1:7">
      <c r="A455" s="3" t="str">
        <f>"453"</f>
        <v>453</v>
      </c>
      <c r="B455" s="3" t="s">
        <v>399</v>
      </c>
      <c r="C455" s="3" t="str">
        <f>"大托铺街道"</f>
        <v>大托铺街道</v>
      </c>
      <c r="D455" s="3" t="str">
        <f>"桂井村委会"</f>
        <v>桂井村委会</v>
      </c>
      <c r="E455" s="3" t="str">
        <f t="shared" si="142"/>
        <v>140</v>
      </c>
      <c r="F455" s="3" t="str">
        <f t="shared" si="135"/>
        <v>100</v>
      </c>
      <c r="G455" s="3" t="str">
        <f t="shared" si="141"/>
        <v>二级</v>
      </c>
    </row>
    <row r="456" customHeight="1" spans="1:7">
      <c r="A456" s="3" t="str">
        <f>"454"</f>
        <v>454</v>
      </c>
      <c r="B456" s="3" t="s">
        <v>400</v>
      </c>
      <c r="C456" s="3" t="str">
        <f t="shared" ref="C456:C461" si="143">"裕南街街道"</f>
        <v>裕南街街道</v>
      </c>
      <c r="D456" s="3" t="str">
        <f>"长坡社区"</f>
        <v>长坡社区</v>
      </c>
      <c r="E456" s="3" t="str">
        <f t="shared" si="142"/>
        <v>140</v>
      </c>
      <c r="F456" s="3" t="str">
        <f t="shared" si="135"/>
        <v>100</v>
      </c>
      <c r="G456" s="3" t="str">
        <f t="shared" si="141"/>
        <v>二级</v>
      </c>
    </row>
    <row r="457" customHeight="1" spans="1:7">
      <c r="A457" s="3" t="str">
        <f>"455"</f>
        <v>455</v>
      </c>
      <c r="B457" s="3" t="s">
        <v>401</v>
      </c>
      <c r="C457" s="3" t="str">
        <f>"城南路街道"</f>
        <v>城南路街道</v>
      </c>
      <c r="D457" s="3" t="str">
        <f>"古道巷社区"</f>
        <v>古道巷社区</v>
      </c>
      <c r="E457" s="3" t="str">
        <f t="shared" si="142"/>
        <v>140</v>
      </c>
      <c r="F457" s="3" t="str">
        <f t="shared" si="135"/>
        <v>100</v>
      </c>
      <c r="G457" s="3" t="str">
        <f t="shared" si="141"/>
        <v>二级</v>
      </c>
    </row>
    <row r="458" customHeight="1" spans="1:7">
      <c r="A458" s="3" t="str">
        <f>"456"</f>
        <v>456</v>
      </c>
      <c r="B458" s="3" t="s">
        <v>402</v>
      </c>
      <c r="C458" s="3" t="str">
        <f>"金盆岭街道"</f>
        <v>金盆岭街道</v>
      </c>
      <c r="D458" s="3" t="str">
        <f>"赤岭路社区"</f>
        <v>赤岭路社区</v>
      </c>
      <c r="E458" s="3" t="str">
        <f t="shared" si="142"/>
        <v>140</v>
      </c>
      <c r="F458" s="3" t="str">
        <f t="shared" si="135"/>
        <v>100</v>
      </c>
      <c r="G458" s="3" t="str">
        <f t="shared" si="141"/>
        <v>二级</v>
      </c>
    </row>
    <row r="459" customHeight="1" spans="1:7">
      <c r="A459" s="3" t="str">
        <f>"457"</f>
        <v>457</v>
      </c>
      <c r="B459" s="3" t="s">
        <v>403</v>
      </c>
      <c r="C459" s="3" t="str">
        <f>"坡子街街道"</f>
        <v>坡子街街道</v>
      </c>
      <c r="D459" s="3" t="str">
        <f>"登仁桥社区"</f>
        <v>登仁桥社区</v>
      </c>
      <c r="E459" s="3" t="str">
        <f t="shared" si="142"/>
        <v>140</v>
      </c>
      <c r="F459" s="3" t="str">
        <f t="shared" si="135"/>
        <v>100</v>
      </c>
      <c r="G459" s="3" t="str">
        <f t="shared" si="141"/>
        <v>二级</v>
      </c>
    </row>
    <row r="460" customHeight="1" spans="1:7">
      <c r="A460" s="3" t="str">
        <f>"458"</f>
        <v>458</v>
      </c>
      <c r="B460" s="3" t="s">
        <v>404</v>
      </c>
      <c r="C460" s="3" t="str">
        <f t="shared" si="143"/>
        <v>裕南街街道</v>
      </c>
      <c r="D460" s="3" t="str">
        <f>"火把山社区"</f>
        <v>火把山社区</v>
      </c>
      <c r="E460" s="3" t="str">
        <f t="shared" si="142"/>
        <v>140</v>
      </c>
      <c r="F460" s="3" t="str">
        <f t="shared" si="135"/>
        <v>100</v>
      </c>
      <c r="G460" s="3" t="str">
        <f t="shared" ref="G460:G464" si="144">"一级"</f>
        <v>一级</v>
      </c>
    </row>
    <row r="461" customHeight="1" spans="1:7">
      <c r="A461" s="3" t="str">
        <f>"459"</f>
        <v>459</v>
      </c>
      <c r="B461" s="3" t="s">
        <v>139</v>
      </c>
      <c r="C461" s="3" t="str">
        <f t="shared" si="143"/>
        <v>裕南街街道</v>
      </c>
      <c r="D461" s="3" t="str">
        <f>"火把山社区"</f>
        <v>火把山社区</v>
      </c>
      <c r="E461" s="3" t="str">
        <f t="shared" si="142"/>
        <v>140</v>
      </c>
      <c r="F461" s="3" t="str">
        <f t="shared" si="135"/>
        <v>100</v>
      </c>
      <c r="G461" s="3" t="str">
        <f t="shared" si="144"/>
        <v>一级</v>
      </c>
    </row>
    <row r="462" customHeight="1" spans="1:7">
      <c r="A462" s="3" t="str">
        <f>"460"</f>
        <v>460</v>
      </c>
      <c r="B462" s="3" t="s">
        <v>405</v>
      </c>
      <c r="C462" s="3" t="str">
        <f>"南托街道"</f>
        <v>南托街道</v>
      </c>
      <c r="D462" s="3" t="str">
        <f>"牛角塘村"</f>
        <v>牛角塘村</v>
      </c>
      <c r="E462" s="3" t="str">
        <f t="shared" si="142"/>
        <v>140</v>
      </c>
      <c r="F462" s="3" t="str">
        <f t="shared" si="135"/>
        <v>100</v>
      </c>
      <c r="G462" s="3" t="str">
        <f t="shared" ref="G462:G465" si="145">"二级"</f>
        <v>二级</v>
      </c>
    </row>
    <row r="463" customHeight="1" spans="1:7">
      <c r="A463" s="3" t="str">
        <f>"461"</f>
        <v>461</v>
      </c>
      <c r="B463" s="3" t="s">
        <v>406</v>
      </c>
      <c r="C463" s="3" t="str">
        <f t="shared" ref="C463:C467" si="146">"坡子街街道"</f>
        <v>坡子街街道</v>
      </c>
      <c r="D463" s="3" t="str">
        <f>"西湖社区"</f>
        <v>西湖社区</v>
      </c>
      <c r="E463" s="3" t="str">
        <f t="shared" si="142"/>
        <v>140</v>
      </c>
      <c r="F463" s="3" t="str">
        <f t="shared" si="135"/>
        <v>100</v>
      </c>
      <c r="G463" s="3" t="str">
        <f t="shared" si="145"/>
        <v>二级</v>
      </c>
    </row>
    <row r="464" customHeight="1" spans="1:7">
      <c r="A464" s="3" t="str">
        <f>"462"</f>
        <v>462</v>
      </c>
      <c r="B464" s="3" t="s">
        <v>407</v>
      </c>
      <c r="C464" s="3" t="str">
        <f>"城南路街道"</f>
        <v>城南路街道</v>
      </c>
      <c r="D464" s="3" t="str">
        <f>"熙台岭社区"</f>
        <v>熙台岭社区</v>
      </c>
      <c r="E464" s="3" t="str">
        <f t="shared" si="142"/>
        <v>140</v>
      </c>
      <c r="F464" s="3" t="str">
        <f t="shared" si="135"/>
        <v>100</v>
      </c>
      <c r="G464" s="3" t="str">
        <f t="shared" si="144"/>
        <v>一级</v>
      </c>
    </row>
    <row r="465" customHeight="1" spans="1:7">
      <c r="A465" s="3" t="str">
        <f>"463"</f>
        <v>463</v>
      </c>
      <c r="B465" s="3" t="s">
        <v>408</v>
      </c>
      <c r="C465" s="3" t="str">
        <f t="shared" si="146"/>
        <v>坡子街街道</v>
      </c>
      <c r="D465" s="3" t="str">
        <f>"楚湘社区"</f>
        <v>楚湘社区</v>
      </c>
      <c r="E465" s="3" t="str">
        <f t="shared" si="142"/>
        <v>140</v>
      </c>
      <c r="F465" s="3" t="str">
        <f t="shared" si="135"/>
        <v>100</v>
      </c>
      <c r="G465" s="3" t="str">
        <f t="shared" si="145"/>
        <v>二级</v>
      </c>
    </row>
    <row r="466" customHeight="1" spans="1:7">
      <c r="A466" s="3" t="str">
        <f>"464"</f>
        <v>464</v>
      </c>
      <c r="B466" s="3" t="s">
        <v>409</v>
      </c>
      <c r="C466" s="3" t="str">
        <f>"金盆岭街道"</f>
        <v>金盆岭街道</v>
      </c>
      <c r="D466" s="3" t="str">
        <f>"狮子山社区"</f>
        <v>狮子山社区</v>
      </c>
      <c r="E466" s="3" t="str">
        <f t="shared" si="142"/>
        <v>140</v>
      </c>
      <c r="F466" s="3" t="str">
        <f t="shared" si="135"/>
        <v>100</v>
      </c>
      <c r="G466" s="3" t="str">
        <f t="shared" ref="G466:G470" si="147">"一级"</f>
        <v>一级</v>
      </c>
    </row>
    <row r="467" customHeight="1" spans="1:7">
      <c r="A467" s="3" t="str">
        <f>"465"</f>
        <v>465</v>
      </c>
      <c r="B467" s="3" t="s">
        <v>328</v>
      </c>
      <c r="C467" s="3" t="str">
        <f t="shared" si="146"/>
        <v>坡子街街道</v>
      </c>
      <c r="D467" s="3" t="str">
        <f>"楚湘社区"</f>
        <v>楚湘社区</v>
      </c>
      <c r="E467" s="3" t="str">
        <f t="shared" si="142"/>
        <v>140</v>
      </c>
      <c r="F467" s="3" t="str">
        <f t="shared" si="135"/>
        <v>100</v>
      </c>
      <c r="G467" s="3" t="str">
        <f t="shared" si="147"/>
        <v>一级</v>
      </c>
    </row>
    <row r="468" customHeight="1" spans="1:7">
      <c r="A468" s="3" t="str">
        <f>"466"</f>
        <v>466</v>
      </c>
      <c r="B468" s="3" t="s">
        <v>410</v>
      </c>
      <c r="C468" s="3" t="str">
        <f>"新开铺街道"</f>
        <v>新开铺街道</v>
      </c>
      <c r="D468" s="3" t="str">
        <f>"新开铺社区"</f>
        <v>新开铺社区</v>
      </c>
      <c r="E468" s="3" t="str">
        <f t="shared" si="142"/>
        <v>140</v>
      </c>
      <c r="F468" s="3" t="str">
        <f t="shared" si="135"/>
        <v>100</v>
      </c>
      <c r="G468" s="3" t="str">
        <f t="shared" ref="G468:G473" si="148">"二级"</f>
        <v>二级</v>
      </c>
    </row>
    <row r="469" customHeight="1" spans="1:7">
      <c r="A469" s="3" t="str">
        <f>"467"</f>
        <v>467</v>
      </c>
      <c r="B469" s="3" t="s">
        <v>411</v>
      </c>
      <c r="C469" s="3" t="str">
        <f>"坡子街街道"</f>
        <v>坡子街街道</v>
      </c>
      <c r="D469" s="3" t="str">
        <f>"碧湘社区"</f>
        <v>碧湘社区</v>
      </c>
      <c r="E469" s="3" t="str">
        <f t="shared" si="142"/>
        <v>140</v>
      </c>
      <c r="F469" s="3" t="str">
        <f t="shared" si="135"/>
        <v>100</v>
      </c>
      <c r="G469" s="3" t="str">
        <f t="shared" si="147"/>
        <v>一级</v>
      </c>
    </row>
    <row r="470" customHeight="1" spans="1:7">
      <c r="A470" s="3" t="str">
        <f>"468"</f>
        <v>468</v>
      </c>
      <c r="B470" s="3" t="s">
        <v>412</v>
      </c>
      <c r="C470" s="3" t="str">
        <f t="shared" ref="C470:C474" si="149">"裕南街街道"</f>
        <v>裕南街街道</v>
      </c>
      <c r="D470" s="3" t="str">
        <f>"长坡社区"</f>
        <v>长坡社区</v>
      </c>
      <c r="E470" s="3" t="str">
        <f t="shared" si="142"/>
        <v>140</v>
      </c>
      <c r="F470" s="3" t="str">
        <f t="shared" si="135"/>
        <v>100</v>
      </c>
      <c r="G470" s="3" t="str">
        <f t="shared" si="147"/>
        <v>一级</v>
      </c>
    </row>
    <row r="471" customHeight="1" spans="1:7">
      <c r="A471" s="3" t="str">
        <f>"469"</f>
        <v>469</v>
      </c>
      <c r="B471" s="3" t="s">
        <v>413</v>
      </c>
      <c r="C471" s="3" t="str">
        <f>"城南路街道"</f>
        <v>城南路街道</v>
      </c>
      <c r="D471" s="3" t="str">
        <f>"吴家坪社区"</f>
        <v>吴家坪社区</v>
      </c>
      <c r="E471" s="3" t="str">
        <f t="shared" si="142"/>
        <v>140</v>
      </c>
      <c r="F471" s="3" t="str">
        <f t="shared" si="135"/>
        <v>100</v>
      </c>
      <c r="G471" s="3" t="str">
        <f t="shared" si="148"/>
        <v>二级</v>
      </c>
    </row>
    <row r="472" customHeight="1" spans="1:7">
      <c r="A472" s="3" t="str">
        <f>"470"</f>
        <v>470</v>
      </c>
      <c r="B472" s="3" t="s">
        <v>414</v>
      </c>
      <c r="C472" s="3" t="str">
        <f t="shared" si="149"/>
        <v>裕南街街道</v>
      </c>
      <c r="D472" s="3" t="str">
        <f>"火把山社区"</f>
        <v>火把山社区</v>
      </c>
      <c r="E472" s="3" t="str">
        <f t="shared" si="142"/>
        <v>140</v>
      </c>
      <c r="F472" s="3" t="str">
        <f t="shared" si="135"/>
        <v>100</v>
      </c>
      <c r="G472" s="3" t="str">
        <f t="shared" si="148"/>
        <v>二级</v>
      </c>
    </row>
    <row r="473" customHeight="1" spans="1:7">
      <c r="A473" s="3" t="str">
        <f>"471"</f>
        <v>471</v>
      </c>
      <c r="B473" s="3" t="s">
        <v>415</v>
      </c>
      <c r="C473" s="3" t="str">
        <f t="shared" si="149"/>
        <v>裕南街街道</v>
      </c>
      <c r="D473" s="3" t="str">
        <f>"裕南街社区"</f>
        <v>裕南街社区</v>
      </c>
      <c r="E473" s="3" t="str">
        <f t="shared" si="142"/>
        <v>140</v>
      </c>
      <c r="F473" s="3" t="str">
        <f t="shared" si="135"/>
        <v>100</v>
      </c>
      <c r="G473" s="3" t="str">
        <f t="shared" si="148"/>
        <v>二级</v>
      </c>
    </row>
    <row r="474" customHeight="1" spans="1:7">
      <c r="A474" s="3" t="str">
        <f>"472"</f>
        <v>472</v>
      </c>
      <c r="B474" s="3" t="s">
        <v>416</v>
      </c>
      <c r="C474" s="3" t="str">
        <f t="shared" si="149"/>
        <v>裕南街街道</v>
      </c>
      <c r="D474" s="3" t="str">
        <f>"长坡社区"</f>
        <v>长坡社区</v>
      </c>
      <c r="E474" s="3" t="str">
        <f t="shared" si="142"/>
        <v>140</v>
      </c>
      <c r="F474" s="3" t="str">
        <f t="shared" si="135"/>
        <v>100</v>
      </c>
      <c r="G474" s="3" t="str">
        <f t="shared" ref="G474:G478" si="150">"一级"</f>
        <v>一级</v>
      </c>
    </row>
    <row r="475" customHeight="1" spans="1:7">
      <c r="A475" s="3" t="str">
        <f>"473"</f>
        <v>473</v>
      </c>
      <c r="B475" s="3" t="s">
        <v>417</v>
      </c>
      <c r="C475" s="3" t="str">
        <f>"金盆岭街道"</f>
        <v>金盆岭街道</v>
      </c>
      <c r="D475" s="3" t="str">
        <f>"赤岭路社区"</f>
        <v>赤岭路社区</v>
      </c>
      <c r="E475" s="3" t="str">
        <f t="shared" si="142"/>
        <v>140</v>
      </c>
      <c r="F475" s="3" t="str">
        <f t="shared" si="135"/>
        <v>100</v>
      </c>
      <c r="G475" s="3" t="str">
        <f t="shared" ref="G475:G479" si="151">"二级"</f>
        <v>二级</v>
      </c>
    </row>
    <row r="476" customHeight="1" spans="1:7">
      <c r="A476" s="3" t="str">
        <f>"474"</f>
        <v>474</v>
      </c>
      <c r="B476" s="3" t="s">
        <v>418</v>
      </c>
      <c r="C476" s="3" t="str">
        <f>"暮云街道"</f>
        <v>暮云街道</v>
      </c>
      <c r="D476" s="3" t="str">
        <f>"许兴村"</f>
        <v>许兴村</v>
      </c>
      <c r="E476" s="3" t="str">
        <f t="shared" si="142"/>
        <v>140</v>
      </c>
      <c r="F476" s="3" t="str">
        <f t="shared" si="135"/>
        <v>100</v>
      </c>
      <c r="G476" s="3" t="str">
        <f t="shared" si="151"/>
        <v>二级</v>
      </c>
    </row>
    <row r="477" customHeight="1" spans="1:7">
      <c r="A477" s="3" t="str">
        <f>"475"</f>
        <v>475</v>
      </c>
      <c r="B477" s="3" t="s">
        <v>419</v>
      </c>
      <c r="C477" s="3" t="str">
        <f>"大托铺街道"</f>
        <v>大托铺街道</v>
      </c>
      <c r="D477" s="3" t="str">
        <f>"大托村委会"</f>
        <v>大托村委会</v>
      </c>
      <c r="E477" s="3" t="str">
        <f t="shared" si="142"/>
        <v>140</v>
      </c>
      <c r="F477" s="3" t="str">
        <f t="shared" si="135"/>
        <v>100</v>
      </c>
      <c r="G477" s="3" t="str">
        <f t="shared" si="150"/>
        <v>一级</v>
      </c>
    </row>
    <row r="478" customHeight="1" spans="1:7">
      <c r="A478" s="3" t="str">
        <f>"476"</f>
        <v>476</v>
      </c>
      <c r="B478" s="3" t="s">
        <v>420</v>
      </c>
      <c r="C478" s="3" t="str">
        <f>"新开铺街道"</f>
        <v>新开铺街道</v>
      </c>
      <c r="D478" s="3" t="str">
        <f>"石人村委会"</f>
        <v>石人村委会</v>
      </c>
      <c r="E478" s="3" t="str">
        <f t="shared" si="142"/>
        <v>140</v>
      </c>
      <c r="F478" s="3" t="str">
        <f t="shared" si="135"/>
        <v>100</v>
      </c>
      <c r="G478" s="3" t="str">
        <f t="shared" si="150"/>
        <v>一级</v>
      </c>
    </row>
    <row r="479" customHeight="1" spans="1:7">
      <c r="A479" s="3" t="str">
        <f>"477"</f>
        <v>477</v>
      </c>
      <c r="B479" s="3" t="s">
        <v>421</v>
      </c>
      <c r="C479" s="3" t="str">
        <f>"暮云街道"</f>
        <v>暮云街道</v>
      </c>
      <c r="D479" s="3" t="str">
        <f>"暮云社区"</f>
        <v>暮云社区</v>
      </c>
      <c r="E479" s="3" t="str">
        <f t="shared" si="142"/>
        <v>140</v>
      </c>
      <c r="F479" s="3" t="str">
        <f t="shared" si="135"/>
        <v>100</v>
      </c>
      <c r="G479" s="3" t="str">
        <f t="shared" si="151"/>
        <v>二级</v>
      </c>
    </row>
    <row r="480" customHeight="1" spans="1:7">
      <c r="A480" s="3" t="str">
        <f>"478"</f>
        <v>478</v>
      </c>
      <c r="B480" s="3" t="s">
        <v>422</v>
      </c>
      <c r="C480" s="3" t="str">
        <f t="shared" ref="C480:C482" si="152">"坡子街街道"</f>
        <v>坡子街街道</v>
      </c>
      <c r="D480" s="3" t="str">
        <f>"文庙坪社区"</f>
        <v>文庙坪社区</v>
      </c>
      <c r="E480" s="3" t="str">
        <f t="shared" si="142"/>
        <v>140</v>
      </c>
      <c r="F480" s="3" t="str">
        <f t="shared" si="135"/>
        <v>100</v>
      </c>
      <c r="G480" s="3" t="str">
        <f t="shared" ref="G480:G485" si="153">"一级"</f>
        <v>一级</v>
      </c>
    </row>
    <row r="481" customHeight="1" spans="1:7">
      <c r="A481" s="3" t="str">
        <f>"479"</f>
        <v>479</v>
      </c>
      <c r="B481" s="3" t="s">
        <v>423</v>
      </c>
      <c r="C481" s="3" t="str">
        <f t="shared" si="152"/>
        <v>坡子街街道</v>
      </c>
      <c r="D481" s="3" t="str">
        <f>"西牌楼社区"</f>
        <v>西牌楼社区</v>
      </c>
      <c r="E481" s="3" t="str">
        <f t="shared" si="142"/>
        <v>140</v>
      </c>
      <c r="F481" s="3" t="str">
        <f t="shared" si="135"/>
        <v>100</v>
      </c>
      <c r="G481" s="3" t="str">
        <f t="shared" ref="G481:G487" si="154">"二级"</f>
        <v>二级</v>
      </c>
    </row>
    <row r="482" customHeight="1" spans="1:7">
      <c r="A482" s="3" t="str">
        <f>"480"</f>
        <v>480</v>
      </c>
      <c r="B482" s="3" t="s">
        <v>424</v>
      </c>
      <c r="C482" s="3" t="str">
        <f t="shared" si="152"/>
        <v>坡子街街道</v>
      </c>
      <c r="D482" s="3" t="str">
        <f t="shared" ref="D482:D487" si="155">"文庙坪社区"</f>
        <v>文庙坪社区</v>
      </c>
      <c r="E482" s="3" t="str">
        <f t="shared" si="142"/>
        <v>140</v>
      </c>
      <c r="F482" s="3" t="str">
        <f t="shared" si="135"/>
        <v>100</v>
      </c>
      <c r="G482" s="3" t="str">
        <f t="shared" si="154"/>
        <v>二级</v>
      </c>
    </row>
    <row r="483" customHeight="1" spans="1:7">
      <c r="A483" s="3" t="str">
        <f>"481"</f>
        <v>481</v>
      </c>
      <c r="B483" s="3" t="s">
        <v>425</v>
      </c>
      <c r="C483" s="3" t="str">
        <f>"新开铺街道"</f>
        <v>新开铺街道</v>
      </c>
      <c r="D483" s="3" t="str">
        <f>"石人村委会"</f>
        <v>石人村委会</v>
      </c>
      <c r="E483" s="3" t="str">
        <f t="shared" si="142"/>
        <v>140</v>
      </c>
      <c r="F483" s="3" t="str">
        <f t="shared" si="135"/>
        <v>100</v>
      </c>
      <c r="G483" s="3" t="str">
        <f t="shared" si="153"/>
        <v>一级</v>
      </c>
    </row>
    <row r="484" customHeight="1" spans="1:7">
      <c r="A484" s="3" t="str">
        <f>"482"</f>
        <v>482</v>
      </c>
      <c r="B484" s="3" t="s">
        <v>426</v>
      </c>
      <c r="C484" s="3" t="str">
        <f>"裕南街街道"</f>
        <v>裕南街街道</v>
      </c>
      <c r="D484" s="3" t="str">
        <f>"仰天湖社区"</f>
        <v>仰天湖社区</v>
      </c>
      <c r="E484" s="3" t="str">
        <f t="shared" si="142"/>
        <v>140</v>
      </c>
      <c r="F484" s="3" t="str">
        <f t="shared" si="135"/>
        <v>100</v>
      </c>
      <c r="G484" s="3" t="str">
        <f t="shared" si="153"/>
        <v>一级</v>
      </c>
    </row>
    <row r="485" customHeight="1" spans="1:7">
      <c r="A485" s="3" t="str">
        <f>"483"</f>
        <v>483</v>
      </c>
      <c r="B485" s="3" t="s">
        <v>427</v>
      </c>
      <c r="C485" s="3" t="str">
        <f>"桂花坪街道"</f>
        <v>桂花坪街道</v>
      </c>
      <c r="D485" s="3" t="str">
        <f>"金桂社区"</f>
        <v>金桂社区</v>
      </c>
      <c r="E485" s="3" t="str">
        <f t="shared" si="142"/>
        <v>140</v>
      </c>
      <c r="F485" s="3" t="str">
        <f t="shared" si="135"/>
        <v>100</v>
      </c>
      <c r="G485" s="3" t="str">
        <f t="shared" si="153"/>
        <v>一级</v>
      </c>
    </row>
    <row r="486" customHeight="1" spans="1:7">
      <c r="A486" s="3" t="str">
        <f>"484"</f>
        <v>484</v>
      </c>
      <c r="B486" s="3" t="s">
        <v>428</v>
      </c>
      <c r="C486" s="3" t="str">
        <f t="shared" ref="C486:C488" si="156">"坡子街街道"</f>
        <v>坡子街街道</v>
      </c>
      <c r="D486" s="3" t="str">
        <f t="shared" si="155"/>
        <v>文庙坪社区</v>
      </c>
      <c r="E486" s="3" t="str">
        <f t="shared" si="142"/>
        <v>140</v>
      </c>
      <c r="F486" s="3" t="str">
        <f t="shared" si="135"/>
        <v>100</v>
      </c>
      <c r="G486" s="3" t="str">
        <f t="shared" si="154"/>
        <v>二级</v>
      </c>
    </row>
    <row r="487" customHeight="1" spans="1:7">
      <c r="A487" s="3" t="str">
        <f>"485"</f>
        <v>485</v>
      </c>
      <c r="B487" s="3" t="s">
        <v>70</v>
      </c>
      <c r="C487" s="3" t="str">
        <f t="shared" si="156"/>
        <v>坡子街街道</v>
      </c>
      <c r="D487" s="3" t="str">
        <f t="shared" si="155"/>
        <v>文庙坪社区</v>
      </c>
      <c r="E487" s="3" t="str">
        <f t="shared" si="142"/>
        <v>140</v>
      </c>
      <c r="F487" s="3" t="str">
        <f t="shared" si="135"/>
        <v>100</v>
      </c>
      <c r="G487" s="3" t="str">
        <f t="shared" si="154"/>
        <v>二级</v>
      </c>
    </row>
    <row r="488" customHeight="1" spans="1:7">
      <c r="A488" s="3" t="str">
        <f>"486"</f>
        <v>486</v>
      </c>
      <c r="B488" s="3" t="s">
        <v>429</v>
      </c>
      <c r="C488" s="3" t="str">
        <f t="shared" si="156"/>
        <v>坡子街街道</v>
      </c>
      <c r="D488" s="3" t="str">
        <f>"登仁桥社区"</f>
        <v>登仁桥社区</v>
      </c>
      <c r="E488" s="3" t="str">
        <f t="shared" si="142"/>
        <v>140</v>
      </c>
      <c r="F488" s="3" t="str">
        <f t="shared" si="135"/>
        <v>100</v>
      </c>
      <c r="G488" s="3" t="str">
        <f t="shared" ref="G488:G492" si="157">"一级"</f>
        <v>一级</v>
      </c>
    </row>
    <row r="489" customHeight="1" spans="1:7">
      <c r="A489" s="3" t="str">
        <f>"487"</f>
        <v>487</v>
      </c>
      <c r="B489" s="3" t="s">
        <v>103</v>
      </c>
      <c r="C489" s="3" t="str">
        <f>"金盆岭街道"</f>
        <v>金盆岭街道</v>
      </c>
      <c r="D489" s="3" t="str">
        <f>"黄土岭社区"</f>
        <v>黄土岭社区</v>
      </c>
      <c r="E489" s="3" t="str">
        <f t="shared" si="142"/>
        <v>140</v>
      </c>
      <c r="F489" s="3" t="str">
        <f t="shared" si="135"/>
        <v>100</v>
      </c>
      <c r="G489" s="3" t="str">
        <f t="shared" ref="G489:G499" si="158">"二级"</f>
        <v>二级</v>
      </c>
    </row>
    <row r="490" customHeight="1" spans="1:7">
      <c r="A490" s="3" t="str">
        <f>"488"</f>
        <v>488</v>
      </c>
      <c r="B490" s="3" t="s">
        <v>430</v>
      </c>
      <c r="C490" s="3" t="str">
        <f>"城南路街道"</f>
        <v>城南路街道</v>
      </c>
      <c r="D490" s="3" t="str">
        <f>"熙台岭社区"</f>
        <v>熙台岭社区</v>
      </c>
      <c r="E490" s="3" t="str">
        <f t="shared" si="142"/>
        <v>140</v>
      </c>
      <c r="F490" s="3" t="str">
        <f t="shared" si="135"/>
        <v>100</v>
      </c>
      <c r="G490" s="3" t="str">
        <f t="shared" si="157"/>
        <v>一级</v>
      </c>
    </row>
    <row r="491" customHeight="1" spans="1:7">
      <c r="A491" s="3" t="str">
        <f>"489"</f>
        <v>489</v>
      </c>
      <c r="B491" s="3" t="s">
        <v>431</v>
      </c>
      <c r="C491" s="3" t="str">
        <f>"裕南街街道"</f>
        <v>裕南街街道</v>
      </c>
      <c r="D491" s="3" t="str">
        <f>"宝塔山社区"</f>
        <v>宝塔山社区</v>
      </c>
      <c r="E491" s="3" t="str">
        <f t="shared" si="142"/>
        <v>140</v>
      </c>
      <c r="F491" s="3" t="str">
        <f t="shared" si="135"/>
        <v>100</v>
      </c>
      <c r="G491" s="3" t="str">
        <f t="shared" si="158"/>
        <v>二级</v>
      </c>
    </row>
    <row r="492" customHeight="1" spans="1:7">
      <c r="A492" s="3" t="str">
        <f>"490"</f>
        <v>490</v>
      </c>
      <c r="B492" s="3" t="s">
        <v>80</v>
      </c>
      <c r="C492" s="3" t="str">
        <f>"文源街道"</f>
        <v>文源街道</v>
      </c>
      <c r="D492" s="3" t="str">
        <f>"天鸿社区"</f>
        <v>天鸿社区</v>
      </c>
      <c r="E492" s="3" t="str">
        <f t="shared" si="142"/>
        <v>140</v>
      </c>
      <c r="F492" s="3" t="str">
        <f t="shared" si="135"/>
        <v>100</v>
      </c>
      <c r="G492" s="3" t="str">
        <f t="shared" si="157"/>
        <v>一级</v>
      </c>
    </row>
    <row r="493" customHeight="1" spans="1:7">
      <c r="A493" s="3" t="str">
        <f>"491"</f>
        <v>491</v>
      </c>
      <c r="B493" s="3" t="s">
        <v>432</v>
      </c>
      <c r="C493" s="3" t="str">
        <f>"裕南街街道"</f>
        <v>裕南街街道</v>
      </c>
      <c r="D493" s="3" t="str">
        <f>"仰天湖社区"</f>
        <v>仰天湖社区</v>
      </c>
      <c r="E493" s="3" t="str">
        <f t="shared" si="142"/>
        <v>140</v>
      </c>
      <c r="F493" s="3" t="str">
        <f t="shared" ref="F493:F556" si="159">"100"</f>
        <v>100</v>
      </c>
      <c r="G493" s="3" t="str">
        <f t="shared" si="158"/>
        <v>二级</v>
      </c>
    </row>
    <row r="494" customHeight="1" spans="1:7">
      <c r="A494" s="3" t="str">
        <f>"492"</f>
        <v>492</v>
      </c>
      <c r="B494" s="3" t="s">
        <v>433</v>
      </c>
      <c r="C494" s="3" t="str">
        <f>"文源街道"</f>
        <v>文源街道</v>
      </c>
      <c r="D494" s="3" t="str">
        <f>"梅岭社区"</f>
        <v>梅岭社区</v>
      </c>
      <c r="E494" s="3" t="str">
        <f t="shared" si="142"/>
        <v>140</v>
      </c>
      <c r="F494" s="3" t="str">
        <f t="shared" si="159"/>
        <v>100</v>
      </c>
      <c r="G494" s="3" t="str">
        <f t="shared" si="158"/>
        <v>二级</v>
      </c>
    </row>
    <row r="495" customHeight="1" spans="1:7">
      <c r="A495" s="3" t="str">
        <f>"493"</f>
        <v>493</v>
      </c>
      <c r="B495" s="3" t="s">
        <v>76</v>
      </c>
      <c r="C495" s="3" t="str">
        <f>"金盆岭街道"</f>
        <v>金盆岭街道</v>
      </c>
      <c r="D495" s="3" t="str">
        <f>"狮子山社区"</f>
        <v>狮子山社区</v>
      </c>
      <c r="E495" s="3" t="str">
        <f t="shared" si="142"/>
        <v>140</v>
      </c>
      <c r="F495" s="3" t="str">
        <f t="shared" si="159"/>
        <v>100</v>
      </c>
      <c r="G495" s="3" t="str">
        <f t="shared" si="158"/>
        <v>二级</v>
      </c>
    </row>
    <row r="496" customHeight="1" spans="1:7">
      <c r="A496" s="3" t="str">
        <f>"494"</f>
        <v>494</v>
      </c>
      <c r="B496" s="3" t="s">
        <v>331</v>
      </c>
      <c r="C496" s="3" t="str">
        <f>"大托铺街道"</f>
        <v>大托铺街道</v>
      </c>
      <c r="D496" s="3" t="str">
        <f>"大托村委会"</f>
        <v>大托村委会</v>
      </c>
      <c r="E496" s="3" t="str">
        <f t="shared" si="142"/>
        <v>140</v>
      </c>
      <c r="F496" s="3" t="str">
        <f t="shared" si="159"/>
        <v>100</v>
      </c>
      <c r="G496" s="3" t="str">
        <f t="shared" si="158"/>
        <v>二级</v>
      </c>
    </row>
    <row r="497" customHeight="1" spans="1:7">
      <c r="A497" s="3" t="str">
        <f>"495"</f>
        <v>495</v>
      </c>
      <c r="B497" s="3" t="s">
        <v>70</v>
      </c>
      <c r="C497" s="3" t="str">
        <f>"先锋街道"</f>
        <v>先锋街道</v>
      </c>
      <c r="D497" s="3" t="str">
        <f>"新宇社区"</f>
        <v>新宇社区</v>
      </c>
      <c r="E497" s="3" t="str">
        <f t="shared" si="142"/>
        <v>140</v>
      </c>
      <c r="F497" s="3" t="str">
        <f t="shared" si="159"/>
        <v>100</v>
      </c>
      <c r="G497" s="3" t="str">
        <f t="shared" si="158"/>
        <v>二级</v>
      </c>
    </row>
    <row r="498" customHeight="1" spans="1:7">
      <c r="A498" s="3" t="str">
        <f>"496"</f>
        <v>496</v>
      </c>
      <c r="B498" s="3" t="s">
        <v>434</v>
      </c>
      <c r="C498" s="3" t="str">
        <f t="shared" ref="C498:C503" si="160">"坡子街街道"</f>
        <v>坡子街街道</v>
      </c>
      <c r="D498" s="3" t="str">
        <f>"登仁桥社区"</f>
        <v>登仁桥社区</v>
      </c>
      <c r="E498" s="3" t="str">
        <f t="shared" si="142"/>
        <v>140</v>
      </c>
      <c r="F498" s="3" t="str">
        <f t="shared" si="159"/>
        <v>100</v>
      </c>
      <c r="G498" s="3" t="str">
        <f t="shared" si="158"/>
        <v>二级</v>
      </c>
    </row>
    <row r="499" customHeight="1" spans="1:7">
      <c r="A499" s="3" t="str">
        <f>"497"</f>
        <v>497</v>
      </c>
      <c r="B499" s="3" t="s">
        <v>80</v>
      </c>
      <c r="C499" s="3" t="str">
        <f t="shared" si="160"/>
        <v>坡子街街道</v>
      </c>
      <c r="D499" s="3" t="str">
        <f>"碧湘社区"</f>
        <v>碧湘社区</v>
      </c>
      <c r="E499" s="3" t="str">
        <f t="shared" si="142"/>
        <v>140</v>
      </c>
      <c r="F499" s="3" t="str">
        <f t="shared" si="159"/>
        <v>100</v>
      </c>
      <c r="G499" s="3" t="str">
        <f t="shared" si="158"/>
        <v>二级</v>
      </c>
    </row>
    <row r="500" customHeight="1" spans="1:7">
      <c r="A500" s="3" t="str">
        <f>"498"</f>
        <v>498</v>
      </c>
      <c r="B500" s="3" t="s">
        <v>435</v>
      </c>
      <c r="C500" s="3" t="str">
        <f>"文源街道"</f>
        <v>文源街道</v>
      </c>
      <c r="D500" s="3" t="str">
        <f>"梅岭社区"</f>
        <v>梅岭社区</v>
      </c>
      <c r="E500" s="3" t="str">
        <f t="shared" si="142"/>
        <v>140</v>
      </c>
      <c r="F500" s="3" t="str">
        <f t="shared" si="159"/>
        <v>100</v>
      </c>
      <c r="G500" s="3" t="str">
        <f t="shared" ref="G500:G504" si="161">"一级"</f>
        <v>一级</v>
      </c>
    </row>
    <row r="501" customHeight="1" spans="1:7">
      <c r="A501" s="3" t="str">
        <f>"499"</f>
        <v>499</v>
      </c>
      <c r="B501" s="3" t="s">
        <v>436</v>
      </c>
      <c r="C501" s="3" t="str">
        <f>"城南路街道"</f>
        <v>城南路街道</v>
      </c>
      <c r="D501" s="3" t="str">
        <f>"熙台岭社区"</f>
        <v>熙台岭社区</v>
      </c>
      <c r="E501" s="3" t="str">
        <f t="shared" si="142"/>
        <v>140</v>
      </c>
      <c r="F501" s="3" t="str">
        <f t="shared" si="159"/>
        <v>100</v>
      </c>
      <c r="G501" s="3" t="str">
        <f t="shared" ref="G501:G506" si="162">"二级"</f>
        <v>二级</v>
      </c>
    </row>
    <row r="502" customHeight="1" spans="1:7">
      <c r="A502" s="3" t="str">
        <f>"500"</f>
        <v>500</v>
      </c>
      <c r="B502" s="3" t="s">
        <v>437</v>
      </c>
      <c r="C502" s="3" t="str">
        <f>"裕南街街道"</f>
        <v>裕南街街道</v>
      </c>
      <c r="D502" s="3" t="str">
        <f>"仰天湖社区"</f>
        <v>仰天湖社区</v>
      </c>
      <c r="E502" s="3" t="str">
        <f t="shared" si="142"/>
        <v>140</v>
      </c>
      <c r="F502" s="3" t="str">
        <f t="shared" si="159"/>
        <v>100</v>
      </c>
      <c r="G502" s="3" t="str">
        <f t="shared" si="161"/>
        <v>一级</v>
      </c>
    </row>
    <row r="503" customHeight="1" spans="1:7">
      <c r="A503" s="3" t="str">
        <f>"501"</f>
        <v>501</v>
      </c>
      <c r="B503" s="3" t="s">
        <v>438</v>
      </c>
      <c r="C503" s="3" t="str">
        <f t="shared" si="160"/>
        <v>坡子街街道</v>
      </c>
      <c r="D503" s="3" t="str">
        <f>"登仁桥社区"</f>
        <v>登仁桥社区</v>
      </c>
      <c r="E503" s="3" t="str">
        <f t="shared" si="142"/>
        <v>140</v>
      </c>
      <c r="F503" s="3" t="str">
        <f t="shared" si="159"/>
        <v>100</v>
      </c>
      <c r="G503" s="3" t="str">
        <f t="shared" si="162"/>
        <v>二级</v>
      </c>
    </row>
    <row r="504" customHeight="1" spans="1:7">
      <c r="A504" s="3" t="str">
        <f>"502"</f>
        <v>502</v>
      </c>
      <c r="B504" s="3" t="s">
        <v>439</v>
      </c>
      <c r="C504" s="3" t="str">
        <f>"金盆岭街道"</f>
        <v>金盆岭街道</v>
      </c>
      <c r="D504" s="3" t="str">
        <f>"涂新社区"</f>
        <v>涂新社区</v>
      </c>
      <c r="E504" s="3" t="str">
        <f t="shared" si="142"/>
        <v>140</v>
      </c>
      <c r="F504" s="3" t="str">
        <f t="shared" si="159"/>
        <v>100</v>
      </c>
      <c r="G504" s="3" t="str">
        <f t="shared" si="161"/>
        <v>一级</v>
      </c>
    </row>
    <row r="505" customHeight="1" spans="1:7">
      <c r="A505" s="3" t="str">
        <f>"503"</f>
        <v>503</v>
      </c>
      <c r="B505" s="3" t="s">
        <v>440</v>
      </c>
      <c r="C505" s="3" t="str">
        <f>"黑石铺街道"</f>
        <v>黑石铺街道</v>
      </c>
      <c r="D505" s="3" t="str">
        <f>"一力社区"</f>
        <v>一力社区</v>
      </c>
      <c r="E505" s="3" t="str">
        <f t="shared" si="142"/>
        <v>140</v>
      </c>
      <c r="F505" s="3" t="str">
        <f t="shared" si="159"/>
        <v>100</v>
      </c>
      <c r="G505" s="3" t="str">
        <f t="shared" si="162"/>
        <v>二级</v>
      </c>
    </row>
    <row r="506" customHeight="1" spans="1:7">
      <c r="A506" s="3" t="str">
        <f>"504"</f>
        <v>504</v>
      </c>
      <c r="B506" s="3" t="s">
        <v>70</v>
      </c>
      <c r="C506" s="3" t="str">
        <f>"赤岭路街道"</f>
        <v>赤岭路街道</v>
      </c>
      <c r="D506" s="3" t="str">
        <f>"新丰社区"</f>
        <v>新丰社区</v>
      </c>
      <c r="E506" s="3" t="str">
        <f t="shared" si="142"/>
        <v>140</v>
      </c>
      <c r="F506" s="3" t="str">
        <f t="shared" si="159"/>
        <v>100</v>
      </c>
      <c r="G506" s="3" t="str">
        <f t="shared" si="162"/>
        <v>二级</v>
      </c>
    </row>
    <row r="507" customHeight="1" spans="1:7">
      <c r="A507" s="3" t="str">
        <f>"505"</f>
        <v>505</v>
      </c>
      <c r="B507" s="3" t="s">
        <v>80</v>
      </c>
      <c r="C507" s="3" t="str">
        <f>"新开铺街道"</f>
        <v>新开铺街道</v>
      </c>
      <c r="D507" s="3" t="str">
        <f>"新天村委会"</f>
        <v>新天村委会</v>
      </c>
      <c r="E507" s="3" t="str">
        <f t="shared" si="142"/>
        <v>140</v>
      </c>
      <c r="F507" s="3" t="str">
        <f t="shared" si="159"/>
        <v>100</v>
      </c>
      <c r="G507" s="3" t="str">
        <f>"一级"</f>
        <v>一级</v>
      </c>
    </row>
    <row r="508" customHeight="1" spans="1:7">
      <c r="A508" s="3" t="str">
        <f>"506"</f>
        <v>506</v>
      </c>
      <c r="B508" s="3" t="s">
        <v>441</v>
      </c>
      <c r="C508" s="3" t="str">
        <f>"金盆岭街道"</f>
        <v>金盆岭街道</v>
      </c>
      <c r="D508" s="3" t="str">
        <f>"夏家冲社区"</f>
        <v>夏家冲社区</v>
      </c>
      <c r="E508" s="3" t="str">
        <f t="shared" si="142"/>
        <v>140</v>
      </c>
      <c r="F508" s="3" t="str">
        <f t="shared" si="159"/>
        <v>100</v>
      </c>
      <c r="G508" s="3" t="str">
        <f t="shared" ref="G508:G512" si="163">"二级"</f>
        <v>二级</v>
      </c>
    </row>
    <row r="509" customHeight="1" spans="1:7">
      <c r="A509" s="3" t="str">
        <f>"507"</f>
        <v>507</v>
      </c>
      <c r="B509" s="3" t="s">
        <v>32</v>
      </c>
      <c r="C509" s="3" t="str">
        <f>"大托铺街道"</f>
        <v>大托铺街道</v>
      </c>
      <c r="D509" s="3" t="str">
        <f>"大托村委会"</f>
        <v>大托村委会</v>
      </c>
      <c r="E509" s="3" t="str">
        <f t="shared" si="142"/>
        <v>140</v>
      </c>
      <c r="F509" s="3" t="str">
        <f t="shared" si="159"/>
        <v>100</v>
      </c>
      <c r="G509" s="3" t="str">
        <f t="shared" si="163"/>
        <v>二级</v>
      </c>
    </row>
    <row r="510" customHeight="1" spans="1:7">
      <c r="A510" s="3" t="str">
        <f>"508"</f>
        <v>508</v>
      </c>
      <c r="B510" s="3" t="s">
        <v>139</v>
      </c>
      <c r="C510" s="3" t="str">
        <f>"裕南街街道"</f>
        <v>裕南街街道</v>
      </c>
      <c r="D510" s="3" t="str">
        <f>"裕南街社区"</f>
        <v>裕南街社区</v>
      </c>
      <c r="E510" s="3" t="str">
        <f t="shared" si="142"/>
        <v>140</v>
      </c>
      <c r="F510" s="3" t="str">
        <f t="shared" si="159"/>
        <v>100</v>
      </c>
      <c r="G510" s="3" t="str">
        <f t="shared" si="163"/>
        <v>二级</v>
      </c>
    </row>
    <row r="511" customHeight="1" spans="1:7">
      <c r="A511" s="3" t="str">
        <f>"509"</f>
        <v>509</v>
      </c>
      <c r="B511" s="3" t="s">
        <v>442</v>
      </c>
      <c r="C511" s="3" t="str">
        <f>"新开铺街道"</f>
        <v>新开铺街道</v>
      </c>
      <c r="D511" s="3" t="str">
        <f>"新开铺社区"</f>
        <v>新开铺社区</v>
      </c>
      <c r="E511" s="3" t="str">
        <f t="shared" si="142"/>
        <v>140</v>
      </c>
      <c r="F511" s="3" t="str">
        <f t="shared" si="159"/>
        <v>100</v>
      </c>
      <c r="G511" s="3" t="str">
        <f t="shared" si="163"/>
        <v>二级</v>
      </c>
    </row>
    <row r="512" customHeight="1" spans="1:7">
      <c r="A512" s="3" t="str">
        <f>"510"</f>
        <v>510</v>
      </c>
      <c r="B512" s="3" t="s">
        <v>443</v>
      </c>
      <c r="C512" s="3" t="str">
        <f>"赤岭路街道"</f>
        <v>赤岭路街道</v>
      </c>
      <c r="D512" s="3" t="str">
        <f>"新丰社区"</f>
        <v>新丰社区</v>
      </c>
      <c r="E512" s="3" t="str">
        <f t="shared" si="142"/>
        <v>140</v>
      </c>
      <c r="F512" s="3" t="str">
        <f t="shared" si="159"/>
        <v>100</v>
      </c>
      <c r="G512" s="3" t="str">
        <f t="shared" si="163"/>
        <v>二级</v>
      </c>
    </row>
    <row r="513" customHeight="1" spans="1:7">
      <c r="A513" s="3" t="str">
        <f>"511"</f>
        <v>511</v>
      </c>
      <c r="B513" s="3" t="s">
        <v>444</v>
      </c>
      <c r="C513" s="3" t="str">
        <f>"坡子街街道"</f>
        <v>坡子街街道</v>
      </c>
      <c r="D513" s="3" t="str">
        <f>"碧湘社区"</f>
        <v>碧湘社区</v>
      </c>
      <c r="E513" s="3" t="str">
        <f t="shared" si="142"/>
        <v>140</v>
      </c>
      <c r="F513" s="3" t="str">
        <f t="shared" si="159"/>
        <v>100</v>
      </c>
      <c r="G513" s="3" t="str">
        <f>"一级"</f>
        <v>一级</v>
      </c>
    </row>
    <row r="514" customHeight="1" spans="1:7">
      <c r="A514" s="3" t="str">
        <f>"512"</f>
        <v>512</v>
      </c>
      <c r="B514" s="3" t="s">
        <v>445</v>
      </c>
      <c r="C514" s="3" t="str">
        <f>"金盆岭街道"</f>
        <v>金盆岭街道</v>
      </c>
      <c r="D514" s="3" t="str">
        <f>"天剑社区"</f>
        <v>天剑社区</v>
      </c>
      <c r="E514" s="3" t="str">
        <f t="shared" si="142"/>
        <v>140</v>
      </c>
      <c r="F514" s="3" t="str">
        <f t="shared" si="159"/>
        <v>100</v>
      </c>
      <c r="G514" s="3" t="str">
        <f t="shared" ref="G514:G516" si="164">"二级"</f>
        <v>二级</v>
      </c>
    </row>
    <row r="515" customHeight="1" spans="1:7">
      <c r="A515" s="3" t="str">
        <f>"513"</f>
        <v>513</v>
      </c>
      <c r="B515" s="3" t="s">
        <v>446</v>
      </c>
      <c r="C515" s="3" t="str">
        <f>"裕南街街道"</f>
        <v>裕南街街道</v>
      </c>
      <c r="D515" s="3" t="str">
        <f>"裕南街社区"</f>
        <v>裕南街社区</v>
      </c>
      <c r="E515" s="3" t="str">
        <f t="shared" ref="E515:E578" si="165">"140"</f>
        <v>140</v>
      </c>
      <c r="F515" s="3" t="str">
        <f t="shared" si="159"/>
        <v>100</v>
      </c>
      <c r="G515" s="3" t="str">
        <f t="shared" si="164"/>
        <v>二级</v>
      </c>
    </row>
    <row r="516" customHeight="1" spans="1:7">
      <c r="A516" s="3" t="str">
        <f>"514"</f>
        <v>514</v>
      </c>
      <c r="B516" s="3" t="s">
        <v>447</v>
      </c>
      <c r="C516" s="3" t="str">
        <f>"城南路街道"</f>
        <v>城南路街道</v>
      </c>
      <c r="D516" s="3" t="str">
        <f>"熙台岭社区"</f>
        <v>熙台岭社区</v>
      </c>
      <c r="E516" s="3" t="str">
        <f t="shared" si="165"/>
        <v>140</v>
      </c>
      <c r="F516" s="3" t="str">
        <f t="shared" si="159"/>
        <v>100</v>
      </c>
      <c r="G516" s="3" t="str">
        <f t="shared" si="164"/>
        <v>二级</v>
      </c>
    </row>
    <row r="517" customHeight="1" spans="1:7">
      <c r="A517" s="3" t="str">
        <f>"515"</f>
        <v>515</v>
      </c>
      <c r="B517" s="3" t="s">
        <v>448</v>
      </c>
      <c r="C517" s="3" t="str">
        <f>"裕南街街道"</f>
        <v>裕南街街道</v>
      </c>
      <c r="D517" s="3" t="str">
        <f>"火把山社区"</f>
        <v>火把山社区</v>
      </c>
      <c r="E517" s="3" t="str">
        <f t="shared" si="165"/>
        <v>140</v>
      </c>
      <c r="F517" s="3" t="str">
        <f t="shared" si="159"/>
        <v>100</v>
      </c>
      <c r="G517" s="3" t="str">
        <f>"一级"</f>
        <v>一级</v>
      </c>
    </row>
    <row r="518" customHeight="1" spans="1:7">
      <c r="A518" s="3" t="str">
        <f>"516"</f>
        <v>516</v>
      </c>
      <c r="B518" s="3" t="s">
        <v>449</v>
      </c>
      <c r="C518" s="3" t="str">
        <f>"新开铺街道"</f>
        <v>新开铺街道</v>
      </c>
      <c r="D518" s="3" t="str">
        <f>"豹子岭社区"</f>
        <v>豹子岭社区</v>
      </c>
      <c r="E518" s="3" t="str">
        <f t="shared" si="165"/>
        <v>140</v>
      </c>
      <c r="F518" s="3" t="str">
        <f t="shared" si="159"/>
        <v>100</v>
      </c>
      <c r="G518" s="3" t="str">
        <f t="shared" ref="G518:G525" si="166">"二级"</f>
        <v>二级</v>
      </c>
    </row>
    <row r="519" customHeight="1" spans="1:7">
      <c r="A519" s="3" t="str">
        <f>"517"</f>
        <v>517</v>
      </c>
      <c r="B519" s="3" t="s">
        <v>450</v>
      </c>
      <c r="C519" s="3" t="str">
        <f>"金盆岭街道"</f>
        <v>金盆岭街道</v>
      </c>
      <c r="D519" s="3" t="str">
        <f>"狮子山社区"</f>
        <v>狮子山社区</v>
      </c>
      <c r="E519" s="3" t="str">
        <f t="shared" si="165"/>
        <v>140</v>
      </c>
      <c r="F519" s="3" t="str">
        <f t="shared" si="159"/>
        <v>100</v>
      </c>
      <c r="G519" s="3" t="str">
        <f t="shared" si="166"/>
        <v>二级</v>
      </c>
    </row>
    <row r="520" customHeight="1" spans="1:7">
      <c r="A520" s="3" t="str">
        <f>"518"</f>
        <v>518</v>
      </c>
      <c r="B520" s="3" t="s">
        <v>68</v>
      </c>
      <c r="C520" s="3" t="str">
        <f t="shared" ref="C520:C525" si="167">"坡子街街道"</f>
        <v>坡子街街道</v>
      </c>
      <c r="D520" s="3" t="str">
        <f>"碧湘社区"</f>
        <v>碧湘社区</v>
      </c>
      <c r="E520" s="3" t="str">
        <f t="shared" si="165"/>
        <v>140</v>
      </c>
      <c r="F520" s="3" t="str">
        <f t="shared" si="159"/>
        <v>100</v>
      </c>
      <c r="G520" s="3" t="str">
        <f t="shared" si="166"/>
        <v>二级</v>
      </c>
    </row>
    <row r="521" customHeight="1" spans="1:7">
      <c r="A521" s="3" t="str">
        <f>"519"</f>
        <v>519</v>
      </c>
      <c r="B521" s="3" t="s">
        <v>451</v>
      </c>
      <c r="C521" s="3" t="str">
        <f>"先锋街道"</f>
        <v>先锋街道</v>
      </c>
      <c r="D521" s="3" t="str">
        <f>"南城社区"</f>
        <v>南城社区</v>
      </c>
      <c r="E521" s="3" t="str">
        <f t="shared" si="165"/>
        <v>140</v>
      </c>
      <c r="F521" s="3" t="str">
        <f t="shared" si="159"/>
        <v>100</v>
      </c>
      <c r="G521" s="3" t="str">
        <f t="shared" si="166"/>
        <v>二级</v>
      </c>
    </row>
    <row r="522" customHeight="1" spans="1:7">
      <c r="A522" s="3" t="str">
        <f>"520"</f>
        <v>520</v>
      </c>
      <c r="B522" s="3" t="s">
        <v>146</v>
      </c>
      <c r="C522" s="3" t="str">
        <f t="shared" si="167"/>
        <v>坡子街街道</v>
      </c>
      <c r="D522" s="3" t="str">
        <f>"碧湘社区"</f>
        <v>碧湘社区</v>
      </c>
      <c r="E522" s="3" t="str">
        <f t="shared" si="165"/>
        <v>140</v>
      </c>
      <c r="F522" s="3" t="str">
        <f t="shared" si="159"/>
        <v>100</v>
      </c>
      <c r="G522" s="3" t="str">
        <f t="shared" si="166"/>
        <v>二级</v>
      </c>
    </row>
    <row r="523" customHeight="1" spans="1:7">
      <c r="A523" s="3" t="str">
        <f>"521"</f>
        <v>521</v>
      </c>
      <c r="B523" s="3" t="s">
        <v>452</v>
      </c>
      <c r="C523" s="3" t="str">
        <f>"青园街道"</f>
        <v>青园街道</v>
      </c>
      <c r="D523" s="3" t="str">
        <f>"井湾子社区"</f>
        <v>井湾子社区</v>
      </c>
      <c r="E523" s="3" t="str">
        <f t="shared" si="165"/>
        <v>140</v>
      </c>
      <c r="F523" s="3" t="str">
        <f t="shared" si="159"/>
        <v>100</v>
      </c>
      <c r="G523" s="3" t="str">
        <f t="shared" si="166"/>
        <v>二级</v>
      </c>
    </row>
    <row r="524" customHeight="1" spans="1:7">
      <c r="A524" s="3" t="str">
        <f>"522"</f>
        <v>522</v>
      </c>
      <c r="B524" s="3" t="s">
        <v>372</v>
      </c>
      <c r="C524" s="3" t="str">
        <f>"文源街道"</f>
        <v>文源街道</v>
      </c>
      <c r="D524" s="3" t="str">
        <f>"梅岭社区"</f>
        <v>梅岭社区</v>
      </c>
      <c r="E524" s="3" t="str">
        <f t="shared" si="165"/>
        <v>140</v>
      </c>
      <c r="F524" s="3" t="str">
        <f t="shared" si="159"/>
        <v>100</v>
      </c>
      <c r="G524" s="3" t="str">
        <f t="shared" si="166"/>
        <v>二级</v>
      </c>
    </row>
    <row r="525" customHeight="1" spans="1:7">
      <c r="A525" s="3" t="str">
        <f>"523"</f>
        <v>523</v>
      </c>
      <c r="B525" s="3" t="s">
        <v>453</v>
      </c>
      <c r="C525" s="3" t="str">
        <f t="shared" si="167"/>
        <v>坡子街街道</v>
      </c>
      <c r="D525" s="3" t="str">
        <f>"西湖社区"</f>
        <v>西湖社区</v>
      </c>
      <c r="E525" s="3" t="str">
        <f t="shared" si="165"/>
        <v>140</v>
      </c>
      <c r="F525" s="3" t="str">
        <f t="shared" si="159"/>
        <v>100</v>
      </c>
      <c r="G525" s="3" t="str">
        <f t="shared" si="166"/>
        <v>二级</v>
      </c>
    </row>
    <row r="526" customHeight="1" spans="1:7">
      <c r="A526" s="3" t="str">
        <f>"524"</f>
        <v>524</v>
      </c>
      <c r="B526" s="3" t="s">
        <v>454</v>
      </c>
      <c r="C526" s="3" t="str">
        <f>"裕南街街道"</f>
        <v>裕南街街道</v>
      </c>
      <c r="D526" s="3" t="str">
        <f>"南站社区"</f>
        <v>南站社区</v>
      </c>
      <c r="E526" s="3" t="str">
        <f t="shared" si="165"/>
        <v>140</v>
      </c>
      <c r="F526" s="3" t="str">
        <f t="shared" si="159"/>
        <v>100</v>
      </c>
      <c r="G526" s="3" t="str">
        <f t="shared" ref="G526:G530" si="168">"一级"</f>
        <v>一级</v>
      </c>
    </row>
    <row r="527" customHeight="1" spans="1:7">
      <c r="A527" s="3" t="str">
        <f>"525"</f>
        <v>525</v>
      </c>
      <c r="B527" s="3" t="s">
        <v>455</v>
      </c>
      <c r="C527" s="3" t="str">
        <f>"赤岭路街道"</f>
        <v>赤岭路街道</v>
      </c>
      <c r="D527" s="3" t="str">
        <f>"南大桥社区"</f>
        <v>南大桥社区</v>
      </c>
      <c r="E527" s="3" t="str">
        <f t="shared" si="165"/>
        <v>140</v>
      </c>
      <c r="F527" s="3" t="str">
        <f t="shared" si="159"/>
        <v>100</v>
      </c>
      <c r="G527" s="3" t="str">
        <f t="shared" si="168"/>
        <v>一级</v>
      </c>
    </row>
    <row r="528" customHeight="1" spans="1:7">
      <c r="A528" s="3" t="str">
        <f>"526"</f>
        <v>526</v>
      </c>
      <c r="B528" s="3" t="s">
        <v>456</v>
      </c>
      <c r="C528" s="3" t="str">
        <f>"暮云街道"</f>
        <v>暮云街道</v>
      </c>
      <c r="D528" s="3" t="str">
        <f>"高云社区"</f>
        <v>高云社区</v>
      </c>
      <c r="E528" s="3" t="str">
        <f t="shared" si="165"/>
        <v>140</v>
      </c>
      <c r="F528" s="3" t="str">
        <f t="shared" si="159"/>
        <v>100</v>
      </c>
      <c r="G528" s="3" t="str">
        <f t="shared" ref="G528:G531" si="169">"二级"</f>
        <v>二级</v>
      </c>
    </row>
    <row r="529" customHeight="1" spans="1:7">
      <c r="A529" s="3" t="str">
        <f>"527"</f>
        <v>527</v>
      </c>
      <c r="B529" s="3" t="s">
        <v>457</v>
      </c>
      <c r="C529" s="3" t="str">
        <f>"暮云街道"</f>
        <v>暮云街道</v>
      </c>
      <c r="D529" s="3" t="str">
        <f>"许兴村"</f>
        <v>许兴村</v>
      </c>
      <c r="E529" s="3" t="str">
        <f t="shared" si="165"/>
        <v>140</v>
      </c>
      <c r="F529" s="3" t="str">
        <f t="shared" si="159"/>
        <v>100</v>
      </c>
      <c r="G529" s="3" t="str">
        <f t="shared" si="169"/>
        <v>二级</v>
      </c>
    </row>
    <row r="530" customHeight="1" spans="1:7">
      <c r="A530" s="3" t="str">
        <f>"528"</f>
        <v>528</v>
      </c>
      <c r="B530" s="3" t="s">
        <v>458</v>
      </c>
      <c r="C530" s="3" t="str">
        <f t="shared" ref="C530:C532" si="170">"坡子街街道"</f>
        <v>坡子街街道</v>
      </c>
      <c r="D530" s="3" t="str">
        <f>"登仁桥社区"</f>
        <v>登仁桥社区</v>
      </c>
      <c r="E530" s="3" t="str">
        <f t="shared" si="165"/>
        <v>140</v>
      </c>
      <c r="F530" s="3" t="str">
        <f t="shared" si="159"/>
        <v>100</v>
      </c>
      <c r="G530" s="3" t="str">
        <f t="shared" si="168"/>
        <v>一级</v>
      </c>
    </row>
    <row r="531" customHeight="1" spans="1:7">
      <c r="A531" s="3" t="str">
        <f>"529"</f>
        <v>529</v>
      </c>
      <c r="B531" s="3" t="s">
        <v>32</v>
      </c>
      <c r="C531" s="3" t="str">
        <f t="shared" si="170"/>
        <v>坡子街街道</v>
      </c>
      <c r="D531" s="3" t="str">
        <f>"西牌楼社区"</f>
        <v>西牌楼社区</v>
      </c>
      <c r="E531" s="3" t="str">
        <f t="shared" si="165"/>
        <v>140</v>
      </c>
      <c r="F531" s="3" t="str">
        <f t="shared" si="159"/>
        <v>100</v>
      </c>
      <c r="G531" s="3" t="str">
        <f t="shared" si="169"/>
        <v>二级</v>
      </c>
    </row>
    <row r="532" customHeight="1" spans="1:7">
      <c r="A532" s="3" t="str">
        <f>"530"</f>
        <v>530</v>
      </c>
      <c r="B532" s="3" t="s">
        <v>459</v>
      </c>
      <c r="C532" s="3" t="str">
        <f t="shared" si="170"/>
        <v>坡子街街道</v>
      </c>
      <c r="D532" s="3" t="str">
        <f>"西牌楼社区"</f>
        <v>西牌楼社区</v>
      </c>
      <c r="E532" s="3" t="str">
        <f t="shared" si="165"/>
        <v>140</v>
      </c>
      <c r="F532" s="3" t="str">
        <f t="shared" si="159"/>
        <v>100</v>
      </c>
      <c r="G532" s="3" t="str">
        <f t="shared" ref="G532:G537" si="171">"一级"</f>
        <v>一级</v>
      </c>
    </row>
    <row r="533" customHeight="1" spans="1:7">
      <c r="A533" s="3" t="str">
        <f>"531"</f>
        <v>531</v>
      </c>
      <c r="B533" s="3" t="s">
        <v>460</v>
      </c>
      <c r="C533" s="3" t="str">
        <f>"文源街道"</f>
        <v>文源街道</v>
      </c>
      <c r="D533" s="3" t="str">
        <f>"文源社区"</f>
        <v>文源社区</v>
      </c>
      <c r="E533" s="3" t="str">
        <f t="shared" si="165"/>
        <v>140</v>
      </c>
      <c r="F533" s="3" t="str">
        <f t="shared" si="159"/>
        <v>100</v>
      </c>
      <c r="G533" s="3" t="str">
        <f t="shared" ref="G533:G536" si="172">"二级"</f>
        <v>二级</v>
      </c>
    </row>
    <row r="534" customHeight="1" spans="1:7">
      <c r="A534" s="3" t="str">
        <f>"532"</f>
        <v>532</v>
      </c>
      <c r="B534" s="3" t="s">
        <v>461</v>
      </c>
      <c r="C534" s="3" t="str">
        <f>"青园街道"</f>
        <v>青园街道</v>
      </c>
      <c r="D534" s="3" t="str">
        <f>"青园社区"</f>
        <v>青园社区</v>
      </c>
      <c r="E534" s="3" t="str">
        <f t="shared" si="165"/>
        <v>140</v>
      </c>
      <c r="F534" s="3" t="str">
        <f t="shared" si="159"/>
        <v>100</v>
      </c>
      <c r="G534" s="3" t="str">
        <f t="shared" si="172"/>
        <v>二级</v>
      </c>
    </row>
    <row r="535" customHeight="1" spans="1:7">
      <c r="A535" s="3" t="str">
        <f>"533"</f>
        <v>533</v>
      </c>
      <c r="B535" s="3" t="s">
        <v>146</v>
      </c>
      <c r="C535" s="3" t="str">
        <f>"南托街道"</f>
        <v>南托街道</v>
      </c>
      <c r="D535" s="3" t="str">
        <f>"沿江村"</f>
        <v>沿江村</v>
      </c>
      <c r="E535" s="3" t="str">
        <f t="shared" si="165"/>
        <v>140</v>
      </c>
      <c r="F535" s="3" t="str">
        <f t="shared" si="159"/>
        <v>100</v>
      </c>
      <c r="G535" s="3" t="str">
        <f t="shared" si="171"/>
        <v>一级</v>
      </c>
    </row>
    <row r="536" customHeight="1" spans="1:7">
      <c r="A536" s="3" t="str">
        <f>"534"</f>
        <v>534</v>
      </c>
      <c r="B536" s="3" t="s">
        <v>462</v>
      </c>
      <c r="C536" s="3" t="str">
        <f>"大托铺街道"</f>
        <v>大托铺街道</v>
      </c>
      <c r="D536" s="3" t="str">
        <f>"兴隆村委会"</f>
        <v>兴隆村委会</v>
      </c>
      <c r="E536" s="3" t="str">
        <f t="shared" si="165"/>
        <v>140</v>
      </c>
      <c r="F536" s="3" t="str">
        <f t="shared" si="159"/>
        <v>100</v>
      </c>
      <c r="G536" s="3" t="str">
        <f t="shared" si="172"/>
        <v>二级</v>
      </c>
    </row>
    <row r="537" customHeight="1" spans="1:7">
      <c r="A537" s="3" t="str">
        <f>"535"</f>
        <v>535</v>
      </c>
      <c r="B537" s="3" t="s">
        <v>463</v>
      </c>
      <c r="C537" s="3" t="str">
        <f t="shared" ref="C537:C541" si="173">"暮云街道"</f>
        <v>暮云街道</v>
      </c>
      <c r="D537" s="3" t="str">
        <f>"高云社区"</f>
        <v>高云社区</v>
      </c>
      <c r="E537" s="3" t="str">
        <f t="shared" si="165"/>
        <v>140</v>
      </c>
      <c r="F537" s="3" t="str">
        <f t="shared" si="159"/>
        <v>100</v>
      </c>
      <c r="G537" s="3" t="str">
        <f t="shared" si="171"/>
        <v>一级</v>
      </c>
    </row>
    <row r="538" customHeight="1" spans="1:7">
      <c r="A538" s="3" t="str">
        <f>"536"</f>
        <v>536</v>
      </c>
      <c r="B538" s="3" t="s">
        <v>464</v>
      </c>
      <c r="C538" s="3" t="str">
        <f>"南托街道"</f>
        <v>南托街道</v>
      </c>
      <c r="D538" s="3" t="str">
        <f>"牛角塘村"</f>
        <v>牛角塘村</v>
      </c>
      <c r="E538" s="3" t="str">
        <f t="shared" si="165"/>
        <v>140</v>
      </c>
      <c r="F538" s="3" t="str">
        <f t="shared" si="159"/>
        <v>100</v>
      </c>
      <c r="G538" s="3" t="str">
        <f t="shared" ref="G538:G541" si="174">"二级"</f>
        <v>二级</v>
      </c>
    </row>
    <row r="539" customHeight="1" spans="1:7">
      <c r="A539" s="3" t="str">
        <f>"537"</f>
        <v>537</v>
      </c>
      <c r="B539" s="3" t="s">
        <v>465</v>
      </c>
      <c r="C539" s="3" t="str">
        <f>"裕南街街道"</f>
        <v>裕南街街道</v>
      </c>
      <c r="D539" s="3" t="str">
        <f>"石子冲社区"</f>
        <v>石子冲社区</v>
      </c>
      <c r="E539" s="3" t="str">
        <f t="shared" si="165"/>
        <v>140</v>
      </c>
      <c r="F539" s="3" t="str">
        <f t="shared" si="159"/>
        <v>100</v>
      </c>
      <c r="G539" s="3" t="str">
        <f t="shared" si="174"/>
        <v>二级</v>
      </c>
    </row>
    <row r="540" customHeight="1" spans="1:7">
      <c r="A540" s="3" t="str">
        <f>"538"</f>
        <v>538</v>
      </c>
      <c r="B540" s="3" t="s">
        <v>380</v>
      </c>
      <c r="C540" s="3" t="str">
        <f t="shared" si="173"/>
        <v>暮云街道</v>
      </c>
      <c r="D540" s="3" t="str">
        <f>"莲华村"</f>
        <v>莲华村</v>
      </c>
      <c r="E540" s="3" t="str">
        <f t="shared" si="165"/>
        <v>140</v>
      </c>
      <c r="F540" s="3" t="str">
        <f t="shared" si="159"/>
        <v>100</v>
      </c>
      <c r="G540" s="3" t="str">
        <f t="shared" si="174"/>
        <v>二级</v>
      </c>
    </row>
    <row r="541" customHeight="1" spans="1:7">
      <c r="A541" s="3" t="str">
        <f>"539"</f>
        <v>539</v>
      </c>
      <c r="B541" s="3" t="s">
        <v>466</v>
      </c>
      <c r="C541" s="3" t="str">
        <f t="shared" si="173"/>
        <v>暮云街道</v>
      </c>
      <c r="D541" s="3" t="str">
        <f>"暮云新村"</f>
        <v>暮云新村</v>
      </c>
      <c r="E541" s="3" t="str">
        <f t="shared" si="165"/>
        <v>140</v>
      </c>
      <c r="F541" s="3" t="str">
        <f t="shared" si="159"/>
        <v>100</v>
      </c>
      <c r="G541" s="3" t="str">
        <f t="shared" si="174"/>
        <v>二级</v>
      </c>
    </row>
    <row r="542" customHeight="1" spans="1:7">
      <c r="A542" s="3" t="str">
        <f>"540"</f>
        <v>540</v>
      </c>
      <c r="B542" s="3" t="s">
        <v>467</v>
      </c>
      <c r="C542" s="3" t="str">
        <f>"大托铺街道"</f>
        <v>大托铺街道</v>
      </c>
      <c r="D542" s="3" t="str">
        <f>"大托村委会"</f>
        <v>大托村委会</v>
      </c>
      <c r="E542" s="3" t="str">
        <f t="shared" si="165"/>
        <v>140</v>
      </c>
      <c r="F542" s="3" t="str">
        <f t="shared" si="159"/>
        <v>100</v>
      </c>
      <c r="G542" s="3" t="str">
        <f>"一级"</f>
        <v>一级</v>
      </c>
    </row>
    <row r="543" customHeight="1" spans="1:7">
      <c r="A543" s="3" t="str">
        <f>"541"</f>
        <v>541</v>
      </c>
      <c r="B543" s="3" t="s">
        <v>468</v>
      </c>
      <c r="C543" s="3" t="str">
        <f>"暮云街道"</f>
        <v>暮云街道</v>
      </c>
      <c r="D543" s="3" t="str">
        <f>"许兴村"</f>
        <v>许兴村</v>
      </c>
      <c r="E543" s="3" t="str">
        <f t="shared" si="165"/>
        <v>140</v>
      </c>
      <c r="F543" s="3" t="str">
        <f t="shared" si="159"/>
        <v>100</v>
      </c>
      <c r="G543" s="3" t="str">
        <f t="shared" ref="G543:G548" si="175">"二级"</f>
        <v>二级</v>
      </c>
    </row>
    <row r="544" customHeight="1" spans="1:7">
      <c r="A544" s="3" t="str">
        <f>"542"</f>
        <v>542</v>
      </c>
      <c r="B544" s="3" t="s">
        <v>70</v>
      </c>
      <c r="C544" s="3" t="str">
        <f>"新开铺街道"</f>
        <v>新开铺街道</v>
      </c>
      <c r="D544" s="3" t="str">
        <f>"新开铺社区"</f>
        <v>新开铺社区</v>
      </c>
      <c r="E544" s="3" t="str">
        <f t="shared" si="165"/>
        <v>140</v>
      </c>
      <c r="F544" s="3" t="str">
        <f t="shared" si="159"/>
        <v>100</v>
      </c>
      <c r="G544" s="3" t="str">
        <f t="shared" si="175"/>
        <v>二级</v>
      </c>
    </row>
    <row r="545" customHeight="1" spans="1:7">
      <c r="A545" s="3" t="str">
        <f>"543"</f>
        <v>543</v>
      </c>
      <c r="B545" s="3" t="s">
        <v>469</v>
      </c>
      <c r="C545" s="3" t="str">
        <f>"新开铺街道"</f>
        <v>新开铺街道</v>
      </c>
      <c r="D545" s="3" t="str">
        <f>"石人村委会"</f>
        <v>石人村委会</v>
      </c>
      <c r="E545" s="3" t="str">
        <f t="shared" si="165"/>
        <v>140</v>
      </c>
      <c r="F545" s="3" t="str">
        <f t="shared" si="159"/>
        <v>100</v>
      </c>
      <c r="G545" s="3" t="str">
        <f t="shared" si="175"/>
        <v>二级</v>
      </c>
    </row>
    <row r="546" customHeight="1" spans="1:7">
      <c r="A546" s="3" t="str">
        <f>"544"</f>
        <v>544</v>
      </c>
      <c r="B546" s="3" t="s">
        <v>470</v>
      </c>
      <c r="C546" s="3" t="str">
        <f>"城南路街道"</f>
        <v>城南路街道</v>
      </c>
      <c r="D546" s="3" t="str">
        <f>"天心阁社区"</f>
        <v>天心阁社区</v>
      </c>
      <c r="E546" s="3" t="str">
        <f t="shared" si="165"/>
        <v>140</v>
      </c>
      <c r="F546" s="3" t="str">
        <f t="shared" si="159"/>
        <v>100</v>
      </c>
      <c r="G546" s="3" t="str">
        <f t="shared" si="175"/>
        <v>二级</v>
      </c>
    </row>
    <row r="547" customHeight="1" spans="1:7">
      <c r="A547" s="3" t="str">
        <f>"545"</f>
        <v>545</v>
      </c>
      <c r="B547" s="3" t="s">
        <v>471</v>
      </c>
      <c r="C547" s="3" t="str">
        <f>"城南路街道"</f>
        <v>城南路街道</v>
      </c>
      <c r="D547" s="3" t="str">
        <f>"吴家坪社区"</f>
        <v>吴家坪社区</v>
      </c>
      <c r="E547" s="3" t="str">
        <f t="shared" si="165"/>
        <v>140</v>
      </c>
      <c r="F547" s="3" t="str">
        <f t="shared" si="159"/>
        <v>100</v>
      </c>
      <c r="G547" s="3" t="str">
        <f t="shared" si="175"/>
        <v>二级</v>
      </c>
    </row>
    <row r="548" customHeight="1" spans="1:7">
      <c r="A548" s="3" t="str">
        <f>"546"</f>
        <v>546</v>
      </c>
      <c r="B548" s="3" t="s">
        <v>472</v>
      </c>
      <c r="C548" s="3" t="str">
        <f>"先锋街道"</f>
        <v>先锋街道</v>
      </c>
      <c r="D548" s="3" t="str">
        <f>"新宇社区"</f>
        <v>新宇社区</v>
      </c>
      <c r="E548" s="3" t="str">
        <f t="shared" si="165"/>
        <v>140</v>
      </c>
      <c r="F548" s="3" t="str">
        <f t="shared" si="159"/>
        <v>100</v>
      </c>
      <c r="G548" s="3" t="str">
        <f t="shared" si="175"/>
        <v>二级</v>
      </c>
    </row>
    <row r="549" customHeight="1" spans="1:7">
      <c r="A549" s="3" t="str">
        <f>"547"</f>
        <v>547</v>
      </c>
      <c r="B549" s="3" t="s">
        <v>473</v>
      </c>
      <c r="C549" s="3" t="str">
        <f>"赤岭路街道"</f>
        <v>赤岭路街道</v>
      </c>
      <c r="D549" s="3" t="str">
        <f>"白沙花园社区"</f>
        <v>白沙花园社区</v>
      </c>
      <c r="E549" s="3" t="str">
        <f t="shared" si="165"/>
        <v>140</v>
      </c>
      <c r="F549" s="3" t="str">
        <f t="shared" si="159"/>
        <v>100</v>
      </c>
      <c r="G549" s="3" t="str">
        <f t="shared" ref="G549:G553" si="176">"一级"</f>
        <v>一级</v>
      </c>
    </row>
    <row r="550" customHeight="1" spans="1:7">
      <c r="A550" s="3" t="str">
        <f>"548"</f>
        <v>548</v>
      </c>
      <c r="B550" s="3" t="s">
        <v>474</v>
      </c>
      <c r="C550" s="3" t="str">
        <f>"赤岭路街道"</f>
        <v>赤岭路街道</v>
      </c>
      <c r="D550" s="3" t="str">
        <f>"南大桥社区"</f>
        <v>南大桥社区</v>
      </c>
      <c r="E550" s="3" t="str">
        <f t="shared" si="165"/>
        <v>140</v>
      </c>
      <c r="F550" s="3" t="str">
        <f t="shared" si="159"/>
        <v>100</v>
      </c>
      <c r="G550" s="3" t="str">
        <f t="shared" si="176"/>
        <v>一级</v>
      </c>
    </row>
    <row r="551" customHeight="1" spans="1:7">
      <c r="A551" s="3" t="str">
        <f>"549"</f>
        <v>549</v>
      </c>
      <c r="B551" s="3" t="s">
        <v>475</v>
      </c>
      <c r="C551" s="3" t="str">
        <f>"桂花坪街道"</f>
        <v>桂花坪街道</v>
      </c>
      <c r="D551" s="3" t="str">
        <f>"金桂社区"</f>
        <v>金桂社区</v>
      </c>
      <c r="E551" s="3" t="str">
        <f t="shared" si="165"/>
        <v>140</v>
      </c>
      <c r="F551" s="3" t="str">
        <f t="shared" si="159"/>
        <v>100</v>
      </c>
      <c r="G551" s="3" t="str">
        <f t="shared" si="176"/>
        <v>一级</v>
      </c>
    </row>
    <row r="552" customHeight="1" spans="1:7">
      <c r="A552" s="3" t="str">
        <f>"550"</f>
        <v>550</v>
      </c>
      <c r="B552" s="3" t="s">
        <v>476</v>
      </c>
      <c r="C552" s="3" t="str">
        <f>"裕南街街道"</f>
        <v>裕南街街道</v>
      </c>
      <c r="D552" s="3" t="str">
        <f>"宝塔山社区"</f>
        <v>宝塔山社区</v>
      </c>
      <c r="E552" s="3" t="str">
        <f t="shared" si="165"/>
        <v>140</v>
      </c>
      <c r="F552" s="3" t="str">
        <f t="shared" si="159"/>
        <v>100</v>
      </c>
      <c r="G552" s="3" t="str">
        <f t="shared" si="176"/>
        <v>一级</v>
      </c>
    </row>
    <row r="553" customHeight="1" spans="1:7">
      <c r="A553" s="3" t="str">
        <f>"551"</f>
        <v>551</v>
      </c>
      <c r="B553" s="3" t="s">
        <v>477</v>
      </c>
      <c r="C553" s="3" t="str">
        <f>"金盆岭街道"</f>
        <v>金盆岭街道</v>
      </c>
      <c r="D553" s="3" t="str">
        <f>"赤岭路社区"</f>
        <v>赤岭路社区</v>
      </c>
      <c r="E553" s="3" t="str">
        <f t="shared" si="165"/>
        <v>140</v>
      </c>
      <c r="F553" s="3" t="str">
        <f t="shared" si="159"/>
        <v>100</v>
      </c>
      <c r="G553" s="3" t="str">
        <f t="shared" si="176"/>
        <v>一级</v>
      </c>
    </row>
    <row r="554" customHeight="1" spans="1:7">
      <c r="A554" s="3" t="str">
        <f>"552"</f>
        <v>552</v>
      </c>
      <c r="B554" s="3" t="s">
        <v>32</v>
      </c>
      <c r="C554" s="3" t="str">
        <f>"坡子街街道"</f>
        <v>坡子街街道</v>
      </c>
      <c r="D554" s="3" t="str">
        <f>"文庙坪社区"</f>
        <v>文庙坪社区</v>
      </c>
      <c r="E554" s="3" t="str">
        <f t="shared" si="165"/>
        <v>140</v>
      </c>
      <c r="F554" s="3" t="str">
        <f t="shared" si="159"/>
        <v>100</v>
      </c>
      <c r="G554" s="3" t="str">
        <f t="shared" ref="G554:G559" si="177">"二级"</f>
        <v>二级</v>
      </c>
    </row>
    <row r="555" customHeight="1" spans="1:7">
      <c r="A555" s="3" t="str">
        <f>"553"</f>
        <v>553</v>
      </c>
      <c r="B555" s="3" t="s">
        <v>478</v>
      </c>
      <c r="C555" s="3" t="str">
        <f>"暮云街道"</f>
        <v>暮云街道</v>
      </c>
      <c r="D555" s="3" t="str">
        <f>"暮云社区"</f>
        <v>暮云社区</v>
      </c>
      <c r="E555" s="3" t="str">
        <f t="shared" si="165"/>
        <v>140</v>
      </c>
      <c r="F555" s="3" t="str">
        <f t="shared" si="159"/>
        <v>100</v>
      </c>
      <c r="G555" s="3" t="str">
        <f>"一级"</f>
        <v>一级</v>
      </c>
    </row>
    <row r="556" customHeight="1" spans="1:7">
      <c r="A556" s="3" t="str">
        <f>"554"</f>
        <v>554</v>
      </c>
      <c r="B556" s="3" t="s">
        <v>479</v>
      </c>
      <c r="C556" s="3" t="str">
        <f>"桂花坪街道"</f>
        <v>桂花坪街道</v>
      </c>
      <c r="D556" s="3" t="str">
        <f>"金桂社区"</f>
        <v>金桂社区</v>
      </c>
      <c r="E556" s="3" t="str">
        <f t="shared" si="165"/>
        <v>140</v>
      </c>
      <c r="F556" s="3" t="str">
        <f t="shared" si="159"/>
        <v>100</v>
      </c>
      <c r="G556" s="3" t="str">
        <f t="shared" si="177"/>
        <v>二级</v>
      </c>
    </row>
    <row r="557" customHeight="1" spans="1:7">
      <c r="A557" s="3" t="str">
        <f>"555"</f>
        <v>555</v>
      </c>
      <c r="B557" s="3" t="s">
        <v>480</v>
      </c>
      <c r="C557" s="3" t="str">
        <f>"金盆岭街道"</f>
        <v>金盆岭街道</v>
      </c>
      <c r="D557" s="3" t="str">
        <f>"涂新社区"</f>
        <v>涂新社区</v>
      </c>
      <c r="E557" s="3" t="str">
        <f t="shared" si="165"/>
        <v>140</v>
      </c>
      <c r="F557" s="3" t="str">
        <f t="shared" ref="F557:F620" si="178">"100"</f>
        <v>100</v>
      </c>
      <c r="G557" s="3" t="str">
        <f t="shared" si="177"/>
        <v>二级</v>
      </c>
    </row>
    <row r="558" customHeight="1" spans="1:7">
      <c r="A558" s="3" t="str">
        <f>"556"</f>
        <v>556</v>
      </c>
      <c r="B558" s="3" t="s">
        <v>481</v>
      </c>
      <c r="C558" s="3" t="str">
        <f>"青园街道"</f>
        <v>青园街道</v>
      </c>
      <c r="D558" s="3" t="str">
        <f>"青园社区"</f>
        <v>青园社区</v>
      </c>
      <c r="E558" s="3" t="str">
        <f t="shared" si="165"/>
        <v>140</v>
      </c>
      <c r="F558" s="3" t="str">
        <f t="shared" si="178"/>
        <v>100</v>
      </c>
      <c r="G558" s="3" t="str">
        <f t="shared" si="177"/>
        <v>二级</v>
      </c>
    </row>
    <row r="559" customHeight="1" spans="1:7">
      <c r="A559" s="3" t="str">
        <f>"557"</f>
        <v>557</v>
      </c>
      <c r="B559" s="3" t="s">
        <v>482</v>
      </c>
      <c r="C559" s="3" t="str">
        <f>"裕南街街道"</f>
        <v>裕南街街道</v>
      </c>
      <c r="D559" s="3" t="str">
        <f>"石子冲社区"</f>
        <v>石子冲社区</v>
      </c>
      <c r="E559" s="3" t="str">
        <f t="shared" si="165"/>
        <v>140</v>
      </c>
      <c r="F559" s="3" t="str">
        <f t="shared" si="178"/>
        <v>100</v>
      </c>
      <c r="G559" s="3" t="str">
        <f t="shared" si="177"/>
        <v>二级</v>
      </c>
    </row>
    <row r="560" customHeight="1" spans="1:7">
      <c r="A560" s="3" t="str">
        <f>"558"</f>
        <v>558</v>
      </c>
      <c r="B560" s="3" t="s">
        <v>483</v>
      </c>
      <c r="C560" s="3" t="str">
        <f>"坡子街街道"</f>
        <v>坡子街街道</v>
      </c>
      <c r="D560" s="3" t="str">
        <f>"碧湘社区"</f>
        <v>碧湘社区</v>
      </c>
      <c r="E560" s="3" t="str">
        <f t="shared" si="165"/>
        <v>140</v>
      </c>
      <c r="F560" s="3" t="str">
        <f t="shared" si="178"/>
        <v>100</v>
      </c>
      <c r="G560" s="3" t="str">
        <f>"一级"</f>
        <v>一级</v>
      </c>
    </row>
    <row r="561" customHeight="1" spans="1:7">
      <c r="A561" s="3" t="str">
        <f>"559"</f>
        <v>559</v>
      </c>
      <c r="B561" s="3" t="s">
        <v>484</v>
      </c>
      <c r="C561" s="3" t="str">
        <f>"坡子街街道"</f>
        <v>坡子街街道</v>
      </c>
      <c r="D561" s="3" t="str">
        <f>"青山祠社区"</f>
        <v>青山祠社区</v>
      </c>
      <c r="E561" s="3" t="str">
        <f t="shared" si="165"/>
        <v>140</v>
      </c>
      <c r="F561" s="3" t="str">
        <f t="shared" si="178"/>
        <v>100</v>
      </c>
      <c r="G561" s="3" t="str">
        <f t="shared" ref="G561:G564" si="179">"二级"</f>
        <v>二级</v>
      </c>
    </row>
    <row r="562" customHeight="1" spans="1:7">
      <c r="A562" s="3" t="str">
        <f>"560"</f>
        <v>560</v>
      </c>
      <c r="B562" s="3" t="s">
        <v>485</v>
      </c>
      <c r="C562" s="3" t="str">
        <f>"赤岭路街道"</f>
        <v>赤岭路街道</v>
      </c>
      <c r="D562" s="3" t="str">
        <f>"猴子石社区"</f>
        <v>猴子石社区</v>
      </c>
      <c r="E562" s="3" t="str">
        <f t="shared" si="165"/>
        <v>140</v>
      </c>
      <c r="F562" s="3" t="str">
        <f t="shared" si="178"/>
        <v>100</v>
      </c>
      <c r="G562" s="3" t="str">
        <f t="shared" si="179"/>
        <v>二级</v>
      </c>
    </row>
    <row r="563" customHeight="1" spans="1:7">
      <c r="A563" s="3" t="str">
        <f>"561"</f>
        <v>561</v>
      </c>
      <c r="B563" s="3" t="s">
        <v>486</v>
      </c>
      <c r="C563" s="3" t="str">
        <f t="shared" ref="C563:C568" si="180">"裕南街街道"</f>
        <v>裕南街街道</v>
      </c>
      <c r="D563" s="3" t="str">
        <f>"东瓜山社区"</f>
        <v>东瓜山社区</v>
      </c>
      <c r="E563" s="3" t="str">
        <f t="shared" si="165"/>
        <v>140</v>
      </c>
      <c r="F563" s="3" t="str">
        <f t="shared" si="178"/>
        <v>100</v>
      </c>
      <c r="G563" s="3" t="str">
        <f t="shared" si="179"/>
        <v>二级</v>
      </c>
    </row>
    <row r="564" customHeight="1" spans="1:7">
      <c r="A564" s="3" t="str">
        <f>"562"</f>
        <v>562</v>
      </c>
      <c r="B564" s="3" t="s">
        <v>487</v>
      </c>
      <c r="C564" s="3" t="str">
        <f>"城南路街道"</f>
        <v>城南路街道</v>
      </c>
      <c r="D564" s="3" t="str">
        <f>"古道巷社区"</f>
        <v>古道巷社区</v>
      </c>
      <c r="E564" s="3" t="str">
        <f t="shared" si="165"/>
        <v>140</v>
      </c>
      <c r="F564" s="3" t="str">
        <f t="shared" si="178"/>
        <v>100</v>
      </c>
      <c r="G564" s="3" t="str">
        <f t="shared" si="179"/>
        <v>二级</v>
      </c>
    </row>
    <row r="565" customHeight="1" spans="1:7">
      <c r="A565" s="3" t="str">
        <f>"563"</f>
        <v>563</v>
      </c>
      <c r="B565" s="3" t="s">
        <v>32</v>
      </c>
      <c r="C565" s="3" t="str">
        <f>"金盆岭街道"</f>
        <v>金盆岭街道</v>
      </c>
      <c r="D565" s="3" t="str">
        <f>"赤岭路社区"</f>
        <v>赤岭路社区</v>
      </c>
      <c r="E565" s="3" t="str">
        <f t="shared" si="165"/>
        <v>140</v>
      </c>
      <c r="F565" s="3" t="str">
        <f t="shared" si="178"/>
        <v>100</v>
      </c>
      <c r="G565" s="3" t="str">
        <f>"一级"</f>
        <v>一级</v>
      </c>
    </row>
    <row r="566" customHeight="1" spans="1:7">
      <c r="A566" s="3" t="str">
        <f>"564"</f>
        <v>564</v>
      </c>
      <c r="B566" s="3" t="s">
        <v>444</v>
      </c>
      <c r="C566" s="3" t="str">
        <f t="shared" si="180"/>
        <v>裕南街街道</v>
      </c>
      <c r="D566" s="3" t="str">
        <f>"长坡社区"</f>
        <v>长坡社区</v>
      </c>
      <c r="E566" s="3" t="str">
        <f t="shared" si="165"/>
        <v>140</v>
      </c>
      <c r="F566" s="3" t="str">
        <f t="shared" si="178"/>
        <v>100</v>
      </c>
      <c r="G566" s="3" t="str">
        <f t="shared" ref="G566:G571" si="181">"二级"</f>
        <v>二级</v>
      </c>
    </row>
    <row r="567" customHeight="1" spans="1:7">
      <c r="A567" s="3" t="str">
        <f>"565"</f>
        <v>565</v>
      </c>
      <c r="B567" s="3" t="s">
        <v>146</v>
      </c>
      <c r="C567" s="3" t="str">
        <f>"城南路街道"</f>
        <v>城南路街道</v>
      </c>
      <c r="D567" s="3" t="str">
        <f>"天心阁社区"</f>
        <v>天心阁社区</v>
      </c>
      <c r="E567" s="3" t="str">
        <f t="shared" si="165"/>
        <v>140</v>
      </c>
      <c r="F567" s="3" t="str">
        <f t="shared" si="178"/>
        <v>100</v>
      </c>
      <c r="G567" s="3" t="str">
        <f>"一级"</f>
        <v>一级</v>
      </c>
    </row>
    <row r="568" customHeight="1" spans="1:7">
      <c r="A568" s="3" t="str">
        <f>"566"</f>
        <v>566</v>
      </c>
      <c r="B568" s="3" t="s">
        <v>267</v>
      </c>
      <c r="C568" s="3" t="str">
        <f t="shared" si="180"/>
        <v>裕南街街道</v>
      </c>
      <c r="D568" s="3" t="str">
        <f>"火把山社区"</f>
        <v>火把山社区</v>
      </c>
      <c r="E568" s="3" t="str">
        <f t="shared" si="165"/>
        <v>140</v>
      </c>
      <c r="F568" s="3" t="str">
        <f t="shared" si="178"/>
        <v>100</v>
      </c>
      <c r="G568" s="3" t="str">
        <f t="shared" si="181"/>
        <v>二级</v>
      </c>
    </row>
    <row r="569" customHeight="1" spans="1:7">
      <c r="A569" s="3" t="str">
        <f>"567"</f>
        <v>567</v>
      </c>
      <c r="B569" s="3" t="s">
        <v>76</v>
      </c>
      <c r="C569" s="3" t="str">
        <f>"金盆岭街道"</f>
        <v>金盆岭街道</v>
      </c>
      <c r="D569" s="3" t="str">
        <f>"涂新社区"</f>
        <v>涂新社区</v>
      </c>
      <c r="E569" s="3" t="str">
        <f t="shared" si="165"/>
        <v>140</v>
      </c>
      <c r="F569" s="3" t="str">
        <f t="shared" si="178"/>
        <v>100</v>
      </c>
      <c r="G569" s="3" t="str">
        <f t="shared" si="181"/>
        <v>二级</v>
      </c>
    </row>
    <row r="570" customHeight="1" spans="1:7">
      <c r="A570" s="3" t="str">
        <f>"568"</f>
        <v>568</v>
      </c>
      <c r="B570" s="3" t="s">
        <v>488</v>
      </c>
      <c r="C570" s="3" t="str">
        <f>"裕南街街道"</f>
        <v>裕南街街道</v>
      </c>
      <c r="D570" s="3" t="str">
        <f>"火把山社区"</f>
        <v>火把山社区</v>
      </c>
      <c r="E570" s="3" t="str">
        <f t="shared" si="165"/>
        <v>140</v>
      </c>
      <c r="F570" s="3" t="str">
        <f t="shared" si="178"/>
        <v>100</v>
      </c>
      <c r="G570" s="3" t="str">
        <f t="shared" si="181"/>
        <v>二级</v>
      </c>
    </row>
    <row r="571" customHeight="1" spans="1:7">
      <c r="A571" s="3" t="str">
        <f>"569"</f>
        <v>569</v>
      </c>
      <c r="B571" s="3" t="s">
        <v>76</v>
      </c>
      <c r="C571" s="3" t="str">
        <f>"新开铺街道"</f>
        <v>新开铺街道</v>
      </c>
      <c r="D571" s="3" t="str">
        <f>"桥头社区"</f>
        <v>桥头社区</v>
      </c>
      <c r="E571" s="3" t="str">
        <f t="shared" si="165"/>
        <v>140</v>
      </c>
      <c r="F571" s="3" t="str">
        <f t="shared" si="178"/>
        <v>100</v>
      </c>
      <c r="G571" s="3" t="str">
        <f t="shared" si="181"/>
        <v>二级</v>
      </c>
    </row>
    <row r="572" customHeight="1" spans="1:7">
      <c r="A572" s="3" t="str">
        <f>"570"</f>
        <v>570</v>
      </c>
      <c r="B572" s="3" t="s">
        <v>32</v>
      </c>
      <c r="C572" s="3" t="str">
        <f>"坡子街街道"</f>
        <v>坡子街街道</v>
      </c>
      <c r="D572" s="3" t="str">
        <f>"楚湘社区"</f>
        <v>楚湘社区</v>
      </c>
      <c r="E572" s="3" t="str">
        <f t="shared" si="165"/>
        <v>140</v>
      </c>
      <c r="F572" s="3" t="str">
        <f t="shared" si="178"/>
        <v>100</v>
      </c>
      <c r="G572" s="3" t="str">
        <f t="shared" ref="G572:G577" si="182">"一级"</f>
        <v>一级</v>
      </c>
    </row>
    <row r="573" customHeight="1" spans="1:7">
      <c r="A573" s="3" t="str">
        <f>"571"</f>
        <v>571</v>
      </c>
      <c r="B573" s="3" t="s">
        <v>139</v>
      </c>
      <c r="C573" s="3" t="str">
        <f>"新开铺街道"</f>
        <v>新开铺街道</v>
      </c>
      <c r="D573" s="3" t="str">
        <f>"新天社区"</f>
        <v>新天社区</v>
      </c>
      <c r="E573" s="3" t="str">
        <f t="shared" si="165"/>
        <v>140</v>
      </c>
      <c r="F573" s="3" t="str">
        <f t="shared" si="178"/>
        <v>100</v>
      </c>
      <c r="G573" s="3" t="str">
        <f t="shared" ref="G573:G575" si="183">"二级"</f>
        <v>二级</v>
      </c>
    </row>
    <row r="574" customHeight="1" spans="1:7">
      <c r="A574" s="3" t="str">
        <f>"572"</f>
        <v>572</v>
      </c>
      <c r="B574" s="3" t="s">
        <v>489</v>
      </c>
      <c r="C574" s="3" t="str">
        <f>"坡子街街道"</f>
        <v>坡子街街道</v>
      </c>
      <c r="D574" s="3" t="str">
        <f>"碧湘社区"</f>
        <v>碧湘社区</v>
      </c>
      <c r="E574" s="3" t="str">
        <f t="shared" si="165"/>
        <v>140</v>
      </c>
      <c r="F574" s="3" t="str">
        <f t="shared" si="178"/>
        <v>100</v>
      </c>
      <c r="G574" s="3" t="str">
        <f t="shared" si="183"/>
        <v>二级</v>
      </c>
    </row>
    <row r="575" customHeight="1" spans="1:7">
      <c r="A575" s="3" t="str">
        <f>"573"</f>
        <v>573</v>
      </c>
      <c r="B575" s="3" t="s">
        <v>490</v>
      </c>
      <c r="C575" s="3" t="str">
        <f t="shared" ref="C575:C581" si="184">"文源街道"</f>
        <v>文源街道</v>
      </c>
      <c r="D575" s="3" t="str">
        <f t="shared" ref="D575:D580" si="185">"天鸿社区"</f>
        <v>天鸿社区</v>
      </c>
      <c r="E575" s="3" t="str">
        <f t="shared" si="165"/>
        <v>140</v>
      </c>
      <c r="F575" s="3" t="str">
        <f t="shared" si="178"/>
        <v>100</v>
      </c>
      <c r="G575" s="3" t="str">
        <f t="shared" si="183"/>
        <v>二级</v>
      </c>
    </row>
    <row r="576" customHeight="1" spans="1:7">
      <c r="A576" s="3" t="str">
        <f>"574"</f>
        <v>574</v>
      </c>
      <c r="B576" s="3" t="s">
        <v>491</v>
      </c>
      <c r="C576" s="3" t="str">
        <f t="shared" si="184"/>
        <v>文源街道</v>
      </c>
      <c r="D576" s="3" t="str">
        <f t="shared" si="185"/>
        <v>天鸿社区</v>
      </c>
      <c r="E576" s="3" t="str">
        <f t="shared" si="165"/>
        <v>140</v>
      </c>
      <c r="F576" s="3" t="str">
        <f t="shared" si="178"/>
        <v>100</v>
      </c>
      <c r="G576" s="3" t="str">
        <f t="shared" si="182"/>
        <v>一级</v>
      </c>
    </row>
    <row r="577" customHeight="1" spans="1:7">
      <c r="A577" s="3" t="str">
        <f>"575"</f>
        <v>575</v>
      </c>
      <c r="B577" s="3" t="s">
        <v>492</v>
      </c>
      <c r="C577" s="3" t="str">
        <f>"城南路街道"</f>
        <v>城南路街道</v>
      </c>
      <c r="D577" s="3" t="str">
        <f>"白沙井社区"</f>
        <v>白沙井社区</v>
      </c>
      <c r="E577" s="3" t="str">
        <f t="shared" si="165"/>
        <v>140</v>
      </c>
      <c r="F577" s="3" t="str">
        <f t="shared" si="178"/>
        <v>100</v>
      </c>
      <c r="G577" s="3" t="str">
        <f t="shared" si="182"/>
        <v>一级</v>
      </c>
    </row>
    <row r="578" customHeight="1" spans="1:7">
      <c r="A578" s="3" t="str">
        <f>"576"</f>
        <v>576</v>
      </c>
      <c r="B578" s="3" t="s">
        <v>119</v>
      </c>
      <c r="C578" s="3" t="str">
        <f t="shared" ref="C578:C583" si="186">"大托铺街道"</f>
        <v>大托铺街道</v>
      </c>
      <c r="D578" s="3" t="str">
        <f>"兴隆村委会"</f>
        <v>兴隆村委会</v>
      </c>
      <c r="E578" s="3" t="str">
        <f t="shared" si="165"/>
        <v>140</v>
      </c>
      <c r="F578" s="3" t="str">
        <f t="shared" si="178"/>
        <v>100</v>
      </c>
      <c r="G578" s="3" t="str">
        <f t="shared" ref="G578:G581" si="187">"二级"</f>
        <v>二级</v>
      </c>
    </row>
    <row r="579" customHeight="1" spans="1:7">
      <c r="A579" s="3" t="str">
        <f>"577"</f>
        <v>577</v>
      </c>
      <c r="B579" s="3" t="s">
        <v>129</v>
      </c>
      <c r="C579" s="3" t="str">
        <f t="shared" si="186"/>
        <v>大托铺街道</v>
      </c>
      <c r="D579" s="3" t="str">
        <f>"新港村委会"</f>
        <v>新港村委会</v>
      </c>
      <c r="E579" s="3" t="str">
        <f t="shared" ref="E579:E642" si="188">"140"</f>
        <v>140</v>
      </c>
      <c r="F579" s="3" t="str">
        <f t="shared" si="178"/>
        <v>100</v>
      </c>
      <c r="G579" s="3" t="str">
        <f t="shared" si="187"/>
        <v>二级</v>
      </c>
    </row>
    <row r="580" customHeight="1" spans="1:7">
      <c r="A580" s="3" t="str">
        <f>"578"</f>
        <v>578</v>
      </c>
      <c r="B580" s="3" t="s">
        <v>493</v>
      </c>
      <c r="C580" s="3" t="str">
        <f t="shared" si="184"/>
        <v>文源街道</v>
      </c>
      <c r="D580" s="3" t="str">
        <f t="shared" si="185"/>
        <v>天鸿社区</v>
      </c>
      <c r="E580" s="3" t="str">
        <f t="shared" si="188"/>
        <v>140</v>
      </c>
      <c r="F580" s="3" t="str">
        <f t="shared" si="178"/>
        <v>100</v>
      </c>
      <c r="G580" s="3" t="str">
        <f t="shared" si="187"/>
        <v>二级</v>
      </c>
    </row>
    <row r="581" customHeight="1" spans="1:7">
      <c r="A581" s="3" t="str">
        <f>"579"</f>
        <v>579</v>
      </c>
      <c r="B581" s="3" t="s">
        <v>494</v>
      </c>
      <c r="C581" s="3" t="str">
        <f t="shared" si="184"/>
        <v>文源街道</v>
      </c>
      <c r="D581" s="3" t="str">
        <f>"梅岭社区"</f>
        <v>梅岭社区</v>
      </c>
      <c r="E581" s="3" t="str">
        <f t="shared" si="188"/>
        <v>140</v>
      </c>
      <c r="F581" s="3" t="str">
        <f t="shared" si="178"/>
        <v>100</v>
      </c>
      <c r="G581" s="3" t="str">
        <f t="shared" si="187"/>
        <v>二级</v>
      </c>
    </row>
    <row r="582" customHeight="1" spans="1:7">
      <c r="A582" s="3" t="str">
        <f>"580"</f>
        <v>580</v>
      </c>
      <c r="B582" s="3" t="s">
        <v>495</v>
      </c>
      <c r="C582" s="3" t="str">
        <f>"先锋街道"</f>
        <v>先锋街道</v>
      </c>
      <c r="D582" s="3" t="str">
        <f>"新路村委会"</f>
        <v>新路村委会</v>
      </c>
      <c r="E582" s="3" t="str">
        <f t="shared" si="188"/>
        <v>140</v>
      </c>
      <c r="F582" s="3" t="str">
        <f t="shared" si="178"/>
        <v>100</v>
      </c>
      <c r="G582" s="3" t="str">
        <f>"一级"</f>
        <v>一级</v>
      </c>
    </row>
    <row r="583" customHeight="1" spans="1:7">
      <c r="A583" s="3" t="str">
        <f>"581"</f>
        <v>581</v>
      </c>
      <c r="B583" s="3" t="s">
        <v>496</v>
      </c>
      <c r="C583" s="3" t="str">
        <f t="shared" si="186"/>
        <v>大托铺街道</v>
      </c>
      <c r="D583" s="3" t="str">
        <f>"黄合村委会"</f>
        <v>黄合村委会</v>
      </c>
      <c r="E583" s="3" t="str">
        <f t="shared" si="188"/>
        <v>140</v>
      </c>
      <c r="F583" s="3" t="str">
        <f t="shared" si="178"/>
        <v>100</v>
      </c>
      <c r="G583" s="3" t="str">
        <f t="shared" ref="G583:G587" si="189">"二级"</f>
        <v>二级</v>
      </c>
    </row>
    <row r="584" customHeight="1" spans="1:7">
      <c r="A584" s="3" t="str">
        <f>"582"</f>
        <v>582</v>
      </c>
      <c r="B584" s="3" t="s">
        <v>497</v>
      </c>
      <c r="C584" s="3" t="str">
        <f>"赤岭路街道"</f>
        <v>赤岭路街道</v>
      </c>
      <c r="D584" s="3" t="str">
        <f>"猴子石社区"</f>
        <v>猴子石社区</v>
      </c>
      <c r="E584" s="3" t="str">
        <f t="shared" si="188"/>
        <v>140</v>
      </c>
      <c r="F584" s="3" t="str">
        <f t="shared" si="178"/>
        <v>100</v>
      </c>
      <c r="G584" s="3" t="str">
        <f>"一级"</f>
        <v>一级</v>
      </c>
    </row>
    <row r="585" customHeight="1" spans="1:7">
      <c r="A585" s="3" t="str">
        <f>"583"</f>
        <v>583</v>
      </c>
      <c r="B585" s="3" t="s">
        <v>68</v>
      </c>
      <c r="C585" s="3" t="str">
        <f t="shared" ref="C585:C590" si="190">"南托街道"</f>
        <v>南托街道</v>
      </c>
      <c r="D585" s="3" t="str">
        <f>"沿江村"</f>
        <v>沿江村</v>
      </c>
      <c r="E585" s="3" t="str">
        <f t="shared" si="188"/>
        <v>140</v>
      </c>
      <c r="F585" s="3" t="str">
        <f t="shared" si="178"/>
        <v>100</v>
      </c>
      <c r="G585" s="3" t="str">
        <f t="shared" si="189"/>
        <v>二级</v>
      </c>
    </row>
    <row r="586" customHeight="1" spans="1:7">
      <c r="A586" s="3" t="str">
        <f>"584"</f>
        <v>584</v>
      </c>
      <c r="B586" s="3" t="s">
        <v>208</v>
      </c>
      <c r="C586" s="3" t="str">
        <f>"坡子街街道"</f>
        <v>坡子街街道</v>
      </c>
      <c r="D586" s="3" t="str">
        <f>"登仁桥社区"</f>
        <v>登仁桥社区</v>
      </c>
      <c r="E586" s="3" t="str">
        <f t="shared" si="188"/>
        <v>140</v>
      </c>
      <c r="F586" s="3" t="str">
        <f t="shared" si="178"/>
        <v>100</v>
      </c>
      <c r="G586" s="3" t="str">
        <f t="shared" si="189"/>
        <v>二级</v>
      </c>
    </row>
    <row r="587" customHeight="1" spans="1:7">
      <c r="A587" s="3" t="str">
        <f>"585"</f>
        <v>585</v>
      </c>
      <c r="B587" s="3" t="s">
        <v>498</v>
      </c>
      <c r="C587" s="3" t="str">
        <f t="shared" si="190"/>
        <v>南托街道</v>
      </c>
      <c r="D587" s="3" t="str">
        <f>"牛角塘村"</f>
        <v>牛角塘村</v>
      </c>
      <c r="E587" s="3" t="str">
        <f t="shared" si="188"/>
        <v>140</v>
      </c>
      <c r="F587" s="3" t="str">
        <f t="shared" si="178"/>
        <v>100</v>
      </c>
      <c r="G587" s="3" t="str">
        <f t="shared" si="189"/>
        <v>二级</v>
      </c>
    </row>
    <row r="588" customHeight="1" spans="1:7">
      <c r="A588" s="3" t="str">
        <f>"586"</f>
        <v>586</v>
      </c>
      <c r="B588" s="3" t="s">
        <v>146</v>
      </c>
      <c r="C588" s="3" t="str">
        <f t="shared" ref="C588:C591" si="191">"暮云街道"</f>
        <v>暮云街道</v>
      </c>
      <c r="D588" s="3" t="str">
        <f>"莲华村"</f>
        <v>莲华村</v>
      </c>
      <c r="E588" s="3" t="str">
        <f t="shared" si="188"/>
        <v>140</v>
      </c>
      <c r="F588" s="3" t="str">
        <f t="shared" si="178"/>
        <v>100</v>
      </c>
      <c r="G588" s="3" t="str">
        <f>"一级"</f>
        <v>一级</v>
      </c>
    </row>
    <row r="589" customHeight="1" spans="1:7">
      <c r="A589" s="3" t="str">
        <f>"587"</f>
        <v>587</v>
      </c>
      <c r="B589" s="3" t="s">
        <v>146</v>
      </c>
      <c r="C589" s="3" t="str">
        <f t="shared" si="191"/>
        <v>暮云街道</v>
      </c>
      <c r="D589" s="3" t="str">
        <f>"莲华村"</f>
        <v>莲华村</v>
      </c>
      <c r="E589" s="3" t="str">
        <f t="shared" si="188"/>
        <v>140</v>
      </c>
      <c r="F589" s="3" t="str">
        <f t="shared" si="178"/>
        <v>100</v>
      </c>
      <c r="G589" s="3" t="str">
        <f t="shared" ref="G589:G593" si="192">"二级"</f>
        <v>二级</v>
      </c>
    </row>
    <row r="590" customHeight="1" spans="1:7">
      <c r="A590" s="3" t="str">
        <f>"588"</f>
        <v>588</v>
      </c>
      <c r="B590" s="3" t="s">
        <v>499</v>
      </c>
      <c r="C590" s="3" t="str">
        <f t="shared" si="190"/>
        <v>南托街道</v>
      </c>
      <c r="D590" s="3" t="str">
        <f>"牛角塘村"</f>
        <v>牛角塘村</v>
      </c>
      <c r="E590" s="3" t="str">
        <f t="shared" si="188"/>
        <v>140</v>
      </c>
      <c r="F590" s="3" t="str">
        <f t="shared" si="178"/>
        <v>100</v>
      </c>
      <c r="G590" s="3" t="str">
        <f t="shared" si="192"/>
        <v>二级</v>
      </c>
    </row>
    <row r="591" customHeight="1" spans="1:7">
      <c r="A591" s="3" t="str">
        <f>"589"</f>
        <v>589</v>
      </c>
      <c r="B591" s="3" t="s">
        <v>500</v>
      </c>
      <c r="C591" s="3" t="str">
        <f t="shared" si="191"/>
        <v>暮云街道</v>
      </c>
      <c r="D591" s="3" t="str">
        <f>"暮云新村"</f>
        <v>暮云新村</v>
      </c>
      <c r="E591" s="3" t="str">
        <f t="shared" si="188"/>
        <v>140</v>
      </c>
      <c r="F591" s="3" t="str">
        <f t="shared" si="178"/>
        <v>100</v>
      </c>
      <c r="G591" s="3" t="str">
        <f t="shared" si="192"/>
        <v>二级</v>
      </c>
    </row>
    <row r="592" customHeight="1" spans="1:7">
      <c r="A592" s="3" t="str">
        <f>"590"</f>
        <v>590</v>
      </c>
      <c r="B592" s="3" t="s">
        <v>76</v>
      </c>
      <c r="C592" s="3" t="str">
        <f>"金盆岭街道"</f>
        <v>金盆岭街道</v>
      </c>
      <c r="D592" s="3" t="str">
        <f>"黄土岭社区"</f>
        <v>黄土岭社区</v>
      </c>
      <c r="E592" s="3" t="str">
        <f t="shared" si="188"/>
        <v>140</v>
      </c>
      <c r="F592" s="3" t="str">
        <f t="shared" si="178"/>
        <v>100</v>
      </c>
      <c r="G592" s="3" t="str">
        <f t="shared" si="192"/>
        <v>二级</v>
      </c>
    </row>
    <row r="593" customHeight="1" spans="1:7">
      <c r="A593" s="3" t="str">
        <f>"591"</f>
        <v>591</v>
      </c>
      <c r="B593" s="3" t="s">
        <v>501</v>
      </c>
      <c r="C593" s="3" t="str">
        <f>"南托街道"</f>
        <v>南托街道</v>
      </c>
      <c r="D593" s="3" t="str">
        <f>"滨洲新村"</f>
        <v>滨洲新村</v>
      </c>
      <c r="E593" s="3" t="str">
        <f t="shared" si="188"/>
        <v>140</v>
      </c>
      <c r="F593" s="3" t="str">
        <f t="shared" si="178"/>
        <v>100</v>
      </c>
      <c r="G593" s="3" t="str">
        <f t="shared" si="192"/>
        <v>二级</v>
      </c>
    </row>
    <row r="594" customHeight="1" spans="1:7">
      <c r="A594" s="3" t="str">
        <f>"592"</f>
        <v>592</v>
      </c>
      <c r="B594" s="3" t="s">
        <v>502</v>
      </c>
      <c r="C594" s="3" t="str">
        <f>"城南路街道"</f>
        <v>城南路街道</v>
      </c>
      <c r="D594" s="3" t="str">
        <f>"熙台岭社区"</f>
        <v>熙台岭社区</v>
      </c>
      <c r="E594" s="3" t="str">
        <f t="shared" si="188"/>
        <v>140</v>
      </c>
      <c r="F594" s="3" t="str">
        <f t="shared" si="178"/>
        <v>100</v>
      </c>
      <c r="G594" s="3" t="str">
        <f t="shared" ref="G594:G597" si="193">"一级"</f>
        <v>一级</v>
      </c>
    </row>
    <row r="595" customHeight="1" spans="1:7">
      <c r="A595" s="3" t="str">
        <f>"593"</f>
        <v>593</v>
      </c>
      <c r="B595" s="3" t="s">
        <v>503</v>
      </c>
      <c r="C595" s="3" t="str">
        <f t="shared" ref="C595:C600" si="194">"暮云街道"</f>
        <v>暮云街道</v>
      </c>
      <c r="D595" s="3" t="str">
        <f>"暮云新村"</f>
        <v>暮云新村</v>
      </c>
      <c r="E595" s="3" t="str">
        <f t="shared" si="188"/>
        <v>140</v>
      </c>
      <c r="F595" s="3" t="str">
        <f t="shared" si="178"/>
        <v>100</v>
      </c>
      <c r="G595" s="3" t="str">
        <f t="shared" si="193"/>
        <v>一级</v>
      </c>
    </row>
    <row r="596" customHeight="1" spans="1:7">
      <c r="A596" s="3" t="str">
        <f>"594"</f>
        <v>594</v>
      </c>
      <c r="B596" s="3" t="s">
        <v>146</v>
      </c>
      <c r="C596" s="3" t="str">
        <f>"大托铺街道"</f>
        <v>大托铺街道</v>
      </c>
      <c r="D596" s="3" t="str">
        <f>"黄合村委会"</f>
        <v>黄合村委会</v>
      </c>
      <c r="E596" s="3" t="str">
        <f t="shared" si="188"/>
        <v>140</v>
      </c>
      <c r="F596" s="3" t="str">
        <f t="shared" si="178"/>
        <v>100</v>
      </c>
      <c r="G596" s="3" t="str">
        <f t="shared" si="193"/>
        <v>一级</v>
      </c>
    </row>
    <row r="597" customHeight="1" spans="1:7">
      <c r="A597" s="3" t="str">
        <f>"595"</f>
        <v>595</v>
      </c>
      <c r="B597" s="3" t="s">
        <v>504</v>
      </c>
      <c r="C597" s="3" t="str">
        <f t="shared" si="194"/>
        <v>暮云街道</v>
      </c>
      <c r="D597" s="3" t="str">
        <f>"云塘社区"</f>
        <v>云塘社区</v>
      </c>
      <c r="E597" s="3" t="str">
        <f t="shared" si="188"/>
        <v>140</v>
      </c>
      <c r="F597" s="3" t="str">
        <f t="shared" si="178"/>
        <v>100</v>
      </c>
      <c r="G597" s="3" t="str">
        <f t="shared" si="193"/>
        <v>一级</v>
      </c>
    </row>
    <row r="598" customHeight="1" spans="1:7">
      <c r="A598" s="3" t="str">
        <f>"596"</f>
        <v>596</v>
      </c>
      <c r="B598" s="3" t="s">
        <v>505</v>
      </c>
      <c r="C598" s="3" t="str">
        <f>"桂花坪街道"</f>
        <v>桂花坪街道</v>
      </c>
      <c r="D598" s="3" t="str">
        <f>"桂庄社区"</f>
        <v>桂庄社区</v>
      </c>
      <c r="E598" s="3" t="str">
        <f t="shared" si="188"/>
        <v>140</v>
      </c>
      <c r="F598" s="3" t="str">
        <f t="shared" si="178"/>
        <v>100</v>
      </c>
      <c r="G598" s="3" t="str">
        <f t="shared" ref="G598:G600" si="195">"二级"</f>
        <v>二级</v>
      </c>
    </row>
    <row r="599" customHeight="1" spans="1:7">
      <c r="A599" s="3" t="str">
        <f>"597"</f>
        <v>597</v>
      </c>
      <c r="B599" s="3" t="s">
        <v>68</v>
      </c>
      <c r="C599" s="3" t="str">
        <f t="shared" ref="C599:C602" si="196">"南托街道"</f>
        <v>南托街道</v>
      </c>
      <c r="D599" s="3" t="str">
        <f>"北塘社区"</f>
        <v>北塘社区</v>
      </c>
      <c r="E599" s="3" t="str">
        <f t="shared" si="188"/>
        <v>140</v>
      </c>
      <c r="F599" s="3" t="str">
        <f t="shared" si="178"/>
        <v>100</v>
      </c>
      <c r="G599" s="3" t="str">
        <f t="shared" si="195"/>
        <v>二级</v>
      </c>
    </row>
    <row r="600" customHeight="1" spans="1:7">
      <c r="A600" s="3" t="str">
        <f>"598"</f>
        <v>598</v>
      </c>
      <c r="B600" s="3" t="s">
        <v>506</v>
      </c>
      <c r="C600" s="3" t="str">
        <f t="shared" si="194"/>
        <v>暮云街道</v>
      </c>
      <c r="D600" s="3" t="str">
        <f>"高云社区"</f>
        <v>高云社区</v>
      </c>
      <c r="E600" s="3" t="str">
        <f t="shared" si="188"/>
        <v>140</v>
      </c>
      <c r="F600" s="3" t="str">
        <f t="shared" si="178"/>
        <v>100</v>
      </c>
      <c r="G600" s="3" t="str">
        <f t="shared" si="195"/>
        <v>二级</v>
      </c>
    </row>
    <row r="601" customHeight="1" spans="1:7">
      <c r="A601" s="3" t="str">
        <f>"599"</f>
        <v>599</v>
      </c>
      <c r="B601" s="3" t="s">
        <v>507</v>
      </c>
      <c r="C601" s="3" t="str">
        <f t="shared" si="196"/>
        <v>南托街道</v>
      </c>
      <c r="D601" s="3" t="str">
        <f>"南托岭社区"</f>
        <v>南托岭社区</v>
      </c>
      <c r="E601" s="3" t="str">
        <f t="shared" si="188"/>
        <v>140</v>
      </c>
      <c r="F601" s="3" t="str">
        <f t="shared" si="178"/>
        <v>100</v>
      </c>
      <c r="G601" s="3" t="str">
        <f t="shared" ref="G601:G606" si="197">"一级"</f>
        <v>一级</v>
      </c>
    </row>
    <row r="602" customHeight="1" spans="1:7">
      <c r="A602" s="3" t="str">
        <f>"600"</f>
        <v>600</v>
      </c>
      <c r="B602" s="3" t="s">
        <v>508</v>
      </c>
      <c r="C602" s="3" t="str">
        <f t="shared" si="196"/>
        <v>南托街道</v>
      </c>
      <c r="D602" s="3" t="str">
        <f>"牛角塘村"</f>
        <v>牛角塘村</v>
      </c>
      <c r="E602" s="3" t="str">
        <f t="shared" si="188"/>
        <v>140</v>
      </c>
      <c r="F602" s="3" t="str">
        <f t="shared" si="178"/>
        <v>100</v>
      </c>
      <c r="G602" s="3" t="str">
        <f t="shared" ref="G602:G604" si="198">"二级"</f>
        <v>二级</v>
      </c>
    </row>
    <row r="603" customHeight="1" spans="1:7">
      <c r="A603" s="3" t="str">
        <f>"601"</f>
        <v>601</v>
      </c>
      <c r="B603" s="3" t="s">
        <v>509</v>
      </c>
      <c r="C603" s="3" t="str">
        <f t="shared" ref="C603:C607" si="199">"暮云街道"</f>
        <v>暮云街道</v>
      </c>
      <c r="D603" s="3" t="str">
        <f>"许兴村"</f>
        <v>许兴村</v>
      </c>
      <c r="E603" s="3" t="str">
        <f t="shared" si="188"/>
        <v>140</v>
      </c>
      <c r="F603" s="3" t="str">
        <f t="shared" si="178"/>
        <v>100</v>
      </c>
      <c r="G603" s="3" t="str">
        <f t="shared" si="198"/>
        <v>二级</v>
      </c>
    </row>
    <row r="604" customHeight="1" spans="1:7">
      <c r="A604" s="3" t="str">
        <f>"602"</f>
        <v>602</v>
      </c>
      <c r="B604" s="3" t="s">
        <v>510</v>
      </c>
      <c r="C604" s="3" t="str">
        <f>"南托街道"</f>
        <v>南托街道</v>
      </c>
      <c r="D604" s="3" t="str">
        <f>"融城社区"</f>
        <v>融城社区</v>
      </c>
      <c r="E604" s="3" t="str">
        <f t="shared" si="188"/>
        <v>140</v>
      </c>
      <c r="F604" s="3" t="str">
        <f t="shared" si="178"/>
        <v>100</v>
      </c>
      <c r="G604" s="3" t="str">
        <f t="shared" si="198"/>
        <v>二级</v>
      </c>
    </row>
    <row r="605" customHeight="1" spans="1:7">
      <c r="A605" s="3" t="str">
        <f>"603"</f>
        <v>603</v>
      </c>
      <c r="B605" s="3" t="s">
        <v>511</v>
      </c>
      <c r="C605" s="3" t="str">
        <f>"南托街道"</f>
        <v>南托街道</v>
      </c>
      <c r="D605" s="3" t="str">
        <f>"牛角塘村"</f>
        <v>牛角塘村</v>
      </c>
      <c r="E605" s="3" t="str">
        <f t="shared" si="188"/>
        <v>140</v>
      </c>
      <c r="F605" s="3" t="str">
        <f t="shared" si="178"/>
        <v>100</v>
      </c>
      <c r="G605" s="3" t="str">
        <f t="shared" si="197"/>
        <v>一级</v>
      </c>
    </row>
    <row r="606" customHeight="1" spans="1:7">
      <c r="A606" s="3" t="str">
        <f>"604"</f>
        <v>604</v>
      </c>
      <c r="B606" s="3" t="s">
        <v>99</v>
      </c>
      <c r="C606" s="3" t="str">
        <f t="shared" si="199"/>
        <v>暮云街道</v>
      </c>
      <c r="D606" s="3" t="str">
        <f>"莲华村"</f>
        <v>莲华村</v>
      </c>
      <c r="E606" s="3" t="str">
        <f t="shared" si="188"/>
        <v>140</v>
      </c>
      <c r="F606" s="3" t="str">
        <f t="shared" si="178"/>
        <v>100</v>
      </c>
      <c r="G606" s="3" t="str">
        <f t="shared" si="197"/>
        <v>一级</v>
      </c>
    </row>
    <row r="607" customHeight="1" spans="1:7">
      <c r="A607" s="3" t="str">
        <f>"605"</f>
        <v>605</v>
      </c>
      <c r="B607" s="3" t="s">
        <v>512</v>
      </c>
      <c r="C607" s="3" t="str">
        <f t="shared" si="199"/>
        <v>暮云街道</v>
      </c>
      <c r="D607" s="3" t="str">
        <f>"暮云新村"</f>
        <v>暮云新村</v>
      </c>
      <c r="E607" s="3" t="str">
        <f t="shared" si="188"/>
        <v>140</v>
      </c>
      <c r="F607" s="3" t="str">
        <f t="shared" si="178"/>
        <v>100</v>
      </c>
      <c r="G607" s="3" t="str">
        <f t="shared" ref="G607:G613" si="200">"二级"</f>
        <v>二级</v>
      </c>
    </row>
    <row r="608" customHeight="1" spans="1:7">
      <c r="A608" s="3" t="str">
        <f>"606"</f>
        <v>606</v>
      </c>
      <c r="B608" s="3" t="s">
        <v>513</v>
      </c>
      <c r="C608" s="3" t="str">
        <f>"大托铺街道"</f>
        <v>大托铺街道</v>
      </c>
      <c r="D608" s="3" t="str">
        <f>"桂井村委会"</f>
        <v>桂井村委会</v>
      </c>
      <c r="E608" s="3" t="str">
        <f t="shared" si="188"/>
        <v>140</v>
      </c>
      <c r="F608" s="3" t="str">
        <f t="shared" si="178"/>
        <v>100</v>
      </c>
      <c r="G608" s="3" t="str">
        <f>"一级"</f>
        <v>一级</v>
      </c>
    </row>
    <row r="609" customHeight="1" spans="1:7">
      <c r="A609" s="3" t="str">
        <f>"607"</f>
        <v>607</v>
      </c>
      <c r="B609" s="3" t="s">
        <v>514</v>
      </c>
      <c r="C609" s="3" t="str">
        <f>"金盆岭街道"</f>
        <v>金盆岭街道</v>
      </c>
      <c r="D609" s="3" t="str">
        <f>"赤岭路社区"</f>
        <v>赤岭路社区</v>
      </c>
      <c r="E609" s="3" t="str">
        <f t="shared" si="188"/>
        <v>140</v>
      </c>
      <c r="F609" s="3" t="str">
        <f t="shared" si="178"/>
        <v>100</v>
      </c>
      <c r="G609" s="3" t="str">
        <f t="shared" si="200"/>
        <v>二级</v>
      </c>
    </row>
    <row r="610" customHeight="1" spans="1:7">
      <c r="A610" s="3" t="str">
        <f>"608"</f>
        <v>608</v>
      </c>
      <c r="B610" s="3" t="s">
        <v>515</v>
      </c>
      <c r="C610" s="3" t="str">
        <f>"文源街道"</f>
        <v>文源街道</v>
      </c>
      <c r="D610" s="3" t="str">
        <f>"天鸿社区"</f>
        <v>天鸿社区</v>
      </c>
      <c r="E610" s="3" t="str">
        <f t="shared" si="188"/>
        <v>140</v>
      </c>
      <c r="F610" s="3" t="str">
        <f t="shared" si="178"/>
        <v>100</v>
      </c>
      <c r="G610" s="3" t="str">
        <f>"一级"</f>
        <v>一级</v>
      </c>
    </row>
    <row r="611" customHeight="1" spans="1:7">
      <c r="A611" s="3" t="str">
        <f>"609"</f>
        <v>609</v>
      </c>
      <c r="B611" s="3" t="s">
        <v>516</v>
      </c>
      <c r="C611" s="3" t="str">
        <f>"裕南街街道"</f>
        <v>裕南街街道</v>
      </c>
      <c r="D611" s="3" t="str">
        <f>"长坡社区"</f>
        <v>长坡社区</v>
      </c>
      <c r="E611" s="3" t="str">
        <f t="shared" si="188"/>
        <v>140</v>
      </c>
      <c r="F611" s="3" t="str">
        <f t="shared" si="178"/>
        <v>100</v>
      </c>
      <c r="G611" s="3" t="str">
        <f t="shared" si="200"/>
        <v>二级</v>
      </c>
    </row>
    <row r="612" customHeight="1" spans="1:7">
      <c r="A612" s="3" t="str">
        <f>"610"</f>
        <v>610</v>
      </c>
      <c r="B612" s="3" t="s">
        <v>517</v>
      </c>
      <c r="C612" s="3" t="str">
        <f>"暮云街道"</f>
        <v>暮云街道</v>
      </c>
      <c r="D612" s="3" t="str">
        <f>"许兴村"</f>
        <v>许兴村</v>
      </c>
      <c r="E612" s="3" t="str">
        <f t="shared" si="188"/>
        <v>140</v>
      </c>
      <c r="F612" s="3" t="str">
        <f t="shared" si="178"/>
        <v>100</v>
      </c>
      <c r="G612" s="3" t="str">
        <f t="shared" si="200"/>
        <v>二级</v>
      </c>
    </row>
    <row r="613" customHeight="1" spans="1:7">
      <c r="A613" s="3" t="str">
        <f>"611"</f>
        <v>611</v>
      </c>
      <c r="B613" s="3" t="s">
        <v>416</v>
      </c>
      <c r="C613" s="3" t="str">
        <f>"暮云街道"</f>
        <v>暮云街道</v>
      </c>
      <c r="D613" s="3" t="str">
        <f>"暮云新村"</f>
        <v>暮云新村</v>
      </c>
      <c r="E613" s="3" t="str">
        <f t="shared" si="188"/>
        <v>140</v>
      </c>
      <c r="F613" s="3" t="str">
        <f t="shared" si="178"/>
        <v>100</v>
      </c>
      <c r="G613" s="3" t="str">
        <f t="shared" si="200"/>
        <v>二级</v>
      </c>
    </row>
    <row r="614" customHeight="1" spans="1:7">
      <c r="A614" s="3" t="str">
        <f>"612"</f>
        <v>612</v>
      </c>
      <c r="B614" s="3" t="s">
        <v>518</v>
      </c>
      <c r="C614" s="3" t="str">
        <f>"金盆岭街道"</f>
        <v>金盆岭街道</v>
      </c>
      <c r="D614" s="3" t="str">
        <f>"黄土岭社区"</f>
        <v>黄土岭社区</v>
      </c>
      <c r="E614" s="3" t="str">
        <f t="shared" si="188"/>
        <v>140</v>
      </c>
      <c r="F614" s="3" t="str">
        <f t="shared" si="178"/>
        <v>100</v>
      </c>
      <c r="G614" s="3" t="str">
        <f t="shared" ref="G614:G618" si="201">"一级"</f>
        <v>一级</v>
      </c>
    </row>
    <row r="615" customHeight="1" spans="1:7">
      <c r="A615" s="3" t="str">
        <f>"613"</f>
        <v>613</v>
      </c>
      <c r="B615" s="3" t="s">
        <v>125</v>
      </c>
      <c r="C615" s="3" t="str">
        <f>"大托铺街道"</f>
        <v>大托铺街道</v>
      </c>
      <c r="D615" s="3" t="str">
        <f>"大托村委会"</f>
        <v>大托村委会</v>
      </c>
      <c r="E615" s="3" t="str">
        <f t="shared" si="188"/>
        <v>140</v>
      </c>
      <c r="F615" s="3" t="str">
        <f t="shared" si="178"/>
        <v>100</v>
      </c>
      <c r="G615" s="3" t="str">
        <f t="shared" ref="G615:G619" si="202">"二级"</f>
        <v>二级</v>
      </c>
    </row>
    <row r="616" customHeight="1" spans="1:7">
      <c r="A616" s="3" t="str">
        <f>"614"</f>
        <v>614</v>
      </c>
      <c r="B616" s="3" t="s">
        <v>519</v>
      </c>
      <c r="C616" s="3" t="str">
        <f>"文源街道"</f>
        <v>文源街道</v>
      </c>
      <c r="D616" s="3" t="str">
        <f>"梅岭社区"</f>
        <v>梅岭社区</v>
      </c>
      <c r="E616" s="3" t="str">
        <f t="shared" si="188"/>
        <v>140</v>
      </c>
      <c r="F616" s="3" t="str">
        <f t="shared" si="178"/>
        <v>100</v>
      </c>
      <c r="G616" s="3" t="str">
        <f t="shared" si="202"/>
        <v>二级</v>
      </c>
    </row>
    <row r="617" customHeight="1" spans="1:7">
      <c r="A617" s="3" t="str">
        <f>"615"</f>
        <v>615</v>
      </c>
      <c r="B617" s="3" t="s">
        <v>395</v>
      </c>
      <c r="C617" s="3" t="str">
        <f>"南托街道"</f>
        <v>南托街道</v>
      </c>
      <c r="D617" s="3" t="str">
        <f>"滨洲新村"</f>
        <v>滨洲新村</v>
      </c>
      <c r="E617" s="3" t="str">
        <f t="shared" si="188"/>
        <v>140</v>
      </c>
      <c r="F617" s="3" t="str">
        <f t="shared" si="178"/>
        <v>100</v>
      </c>
      <c r="G617" s="3" t="str">
        <f t="shared" si="201"/>
        <v>一级</v>
      </c>
    </row>
    <row r="618" customHeight="1" spans="1:7">
      <c r="A618" s="3" t="str">
        <f>"616"</f>
        <v>616</v>
      </c>
      <c r="B618" s="3" t="s">
        <v>520</v>
      </c>
      <c r="C618" s="3" t="str">
        <f>"坡子街街道"</f>
        <v>坡子街街道</v>
      </c>
      <c r="D618" s="3" t="str">
        <f>"青山祠社区"</f>
        <v>青山祠社区</v>
      </c>
      <c r="E618" s="3" t="str">
        <f t="shared" si="188"/>
        <v>140</v>
      </c>
      <c r="F618" s="3" t="str">
        <f t="shared" si="178"/>
        <v>100</v>
      </c>
      <c r="G618" s="3" t="str">
        <f t="shared" si="201"/>
        <v>一级</v>
      </c>
    </row>
    <row r="619" customHeight="1" spans="1:7">
      <c r="A619" s="3" t="str">
        <f>"617"</f>
        <v>617</v>
      </c>
      <c r="B619" s="3" t="s">
        <v>267</v>
      </c>
      <c r="C619" s="3" t="str">
        <f>"暮云街道"</f>
        <v>暮云街道</v>
      </c>
      <c r="D619" s="3" t="str">
        <f>"华月湖社区"</f>
        <v>华月湖社区</v>
      </c>
      <c r="E619" s="3" t="str">
        <f t="shared" si="188"/>
        <v>140</v>
      </c>
      <c r="F619" s="3" t="str">
        <f t="shared" si="178"/>
        <v>100</v>
      </c>
      <c r="G619" s="3" t="str">
        <f t="shared" si="202"/>
        <v>二级</v>
      </c>
    </row>
    <row r="620" customHeight="1" spans="1:7">
      <c r="A620" s="3" t="str">
        <f>"618"</f>
        <v>618</v>
      </c>
      <c r="B620" s="3" t="s">
        <v>521</v>
      </c>
      <c r="C620" s="3" t="str">
        <f>"裕南街街道"</f>
        <v>裕南街街道</v>
      </c>
      <c r="D620" s="3" t="str">
        <f>"东瓜山社区"</f>
        <v>东瓜山社区</v>
      </c>
      <c r="E620" s="3" t="str">
        <f t="shared" si="188"/>
        <v>140</v>
      </c>
      <c r="F620" s="3" t="str">
        <f t="shared" si="178"/>
        <v>100</v>
      </c>
      <c r="G620" s="3" t="str">
        <f>"一级"</f>
        <v>一级</v>
      </c>
    </row>
    <row r="621" customHeight="1" spans="1:7">
      <c r="A621" s="3" t="str">
        <f>"619"</f>
        <v>619</v>
      </c>
      <c r="B621" s="3" t="s">
        <v>522</v>
      </c>
      <c r="C621" s="3" t="str">
        <f>"新开铺街道"</f>
        <v>新开铺街道</v>
      </c>
      <c r="D621" s="3" t="str">
        <f>"新天村委会"</f>
        <v>新天村委会</v>
      </c>
      <c r="E621" s="3" t="str">
        <f t="shared" si="188"/>
        <v>140</v>
      </c>
      <c r="F621" s="3" t="str">
        <f t="shared" ref="F621:F684" si="203">"100"</f>
        <v>100</v>
      </c>
      <c r="G621" s="3" t="str">
        <f t="shared" ref="G621:G628" si="204">"二级"</f>
        <v>二级</v>
      </c>
    </row>
    <row r="622" customHeight="1" spans="1:7">
      <c r="A622" s="3" t="str">
        <f>"620"</f>
        <v>620</v>
      </c>
      <c r="B622" s="3" t="s">
        <v>523</v>
      </c>
      <c r="C622" s="3" t="str">
        <f>"黑石铺街道"</f>
        <v>黑石铺街道</v>
      </c>
      <c r="D622" s="3" t="str">
        <f>"披塘村委会"</f>
        <v>披塘村委会</v>
      </c>
      <c r="E622" s="3" t="str">
        <f t="shared" si="188"/>
        <v>140</v>
      </c>
      <c r="F622" s="3" t="str">
        <f t="shared" si="203"/>
        <v>100</v>
      </c>
      <c r="G622" s="3" t="str">
        <f t="shared" si="204"/>
        <v>二级</v>
      </c>
    </row>
    <row r="623" customHeight="1" spans="1:7">
      <c r="A623" s="3" t="str">
        <f>"621"</f>
        <v>621</v>
      </c>
      <c r="B623" s="3" t="s">
        <v>524</v>
      </c>
      <c r="C623" s="3" t="str">
        <f>"黑石铺街道"</f>
        <v>黑石铺街道</v>
      </c>
      <c r="D623" s="3" t="str">
        <f>"一力社区"</f>
        <v>一力社区</v>
      </c>
      <c r="E623" s="3" t="str">
        <f t="shared" si="188"/>
        <v>140</v>
      </c>
      <c r="F623" s="3" t="str">
        <f t="shared" si="203"/>
        <v>100</v>
      </c>
      <c r="G623" s="3" t="str">
        <f t="shared" si="204"/>
        <v>二级</v>
      </c>
    </row>
    <row r="624" customHeight="1" spans="1:7">
      <c r="A624" s="3" t="str">
        <f>"622"</f>
        <v>622</v>
      </c>
      <c r="B624" s="3" t="s">
        <v>525</v>
      </c>
      <c r="C624" s="3" t="str">
        <f>"暮云街道"</f>
        <v>暮云街道</v>
      </c>
      <c r="D624" s="3" t="str">
        <f>"许兴村"</f>
        <v>许兴村</v>
      </c>
      <c r="E624" s="3" t="str">
        <f t="shared" si="188"/>
        <v>140</v>
      </c>
      <c r="F624" s="3" t="str">
        <f t="shared" si="203"/>
        <v>100</v>
      </c>
      <c r="G624" s="3" t="str">
        <f t="shared" si="204"/>
        <v>二级</v>
      </c>
    </row>
    <row r="625" customHeight="1" spans="1:7">
      <c r="A625" s="3" t="str">
        <f>"623"</f>
        <v>623</v>
      </c>
      <c r="B625" s="3" t="s">
        <v>146</v>
      </c>
      <c r="C625" s="3" t="str">
        <f>"赤岭路街道"</f>
        <v>赤岭路街道</v>
      </c>
      <c r="D625" s="3" t="str">
        <f>"新丰社区"</f>
        <v>新丰社区</v>
      </c>
      <c r="E625" s="3" t="str">
        <f t="shared" si="188"/>
        <v>140</v>
      </c>
      <c r="F625" s="3" t="str">
        <f t="shared" si="203"/>
        <v>100</v>
      </c>
      <c r="G625" s="3" t="str">
        <f t="shared" si="204"/>
        <v>二级</v>
      </c>
    </row>
    <row r="626" customHeight="1" spans="1:7">
      <c r="A626" s="3" t="str">
        <f>"624"</f>
        <v>624</v>
      </c>
      <c r="B626" s="3" t="s">
        <v>526</v>
      </c>
      <c r="C626" s="3" t="str">
        <f>"先锋街道"</f>
        <v>先锋街道</v>
      </c>
      <c r="D626" s="3" t="str">
        <f>"新宇社区"</f>
        <v>新宇社区</v>
      </c>
      <c r="E626" s="3" t="str">
        <f t="shared" si="188"/>
        <v>140</v>
      </c>
      <c r="F626" s="3" t="str">
        <f t="shared" si="203"/>
        <v>100</v>
      </c>
      <c r="G626" s="3" t="str">
        <f t="shared" si="204"/>
        <v>二级</v>
      </c>
    </row>
    <row r="627" customHeight="1" spans="1:7">
      <c r="A627" s="3" t="str">
        <f>"625"</f>
        <v>625</v>
      </c>
      <c r="B627" s="3" t="s">
        <v>527</v>
      </c>
      <c r="C627" s="3" t="str">
        <f t="shared" ref="C627:C629" si="205">"南托街道"</f>
        <v>南托街道</v>
      </c>
      <c r="D627" s="3" t="str">
        <f>"融城社区"</f>
        <v>融城社区</v>
      </c>
      <c r="E627" s="3" t="str">
        <f t="shared" si="188"/>
        <v>140</v>
      </c>
      <c r="F627" s="3" t="str">
        <f t="shared" si="203"/>
        <v>100</v>
      </c>
      <c r="G627" s="3" t="str">
        <f t="shared" si="204"/>
        <v>二级</v>
      </c>
    </row>
    <row r="628" customHeight="1" spans="1:7">
      <c r="A628" s="3" t="str">
        <f>"626"</f>
        <v>626</v>
      </c>
      <c r="B628" s="3" t="s">
        <v>528</v>
      </c>
      <c r="C628" s="3" t="str">
        <f t="shared" si="205"/>
        <v>南托街道</v>
      </c>
      <c r="D628" s="3" t="str">
        <f>"南托岭社区"</f>
        <v>南托岭社区</v>
      </c>
      <c r="E628" s="3" t="str">
        <f t="shared" si="188"/>
        <v>140</v>
      </c>
      <c r="F628" s="3" t="str">
        <f t="shared" si="203"/>
        <v>100</v>
      </c>
      <c r="G628" s="3" t="str">
        <f t="shared" si="204"/>
        <v>二级</v>
      </c>
    </row>
    <row r="629" customHeight="1" spans="1:7">
      <c r="A629" s="3" t="str">
        <f>"627"</f>
        <v>627</v>
      </c>
      <c r="B629" s="3" t="s">
        <v>529</v>
      </c>
      <c r="C629" s="3" t="str">
        <f t="shared" si="205"/>
        <v>南托街道</v>
      </c>
      <c r="D629" s="3" t="str">
        <f>"北塘社区"</f>
        <v>北塘社区</v>
      </c>
      <c r="E629" s="3" t="str">
        <f t="shared" si="188"/>
        <v>140</v>
      </c>
      <c r="F629" s="3" t="str">
        <f t="shared" si="203"/>
        <v>100</v>
      </c>
      <c r="G629" s="3" t="str">
        <f>"一级"</f>
        <v>一级</v>
      </c>
    </row>
    <row r="630" customHeight="1" spans="1:7">
      <c r="A630" s="3" t="str">
        <f>"628"</f>
        <v>628</v>
      </c>
      <c r="B630" s="3" t="s">
        <v>530</v>
      </c>
      <c r="C630" s="3" t="str">
        <f t="shared" ref="C630:C632" si="206">"大托铺街道"</f>
        <v>大托铺街道</v>
      </c>
      <c r="D630" s="3" t="str">
        <f>"大托村委会"</f>
        <v>大托村委会</v>
      </c>
      <c r="E630" s="3" t="str">
        <f t="shared" si="188"/>
        <v>140</v>
      </c>
      <c r="F630" s="3" t="str">
        <f t="shared" si="203"/>
        <v>100</v>
      </c>
      <c r="G630" s="3" t="str">
        <f>"一级"</f>
        <v>一级</v>
      </c>
    </row>
    <row r="631" customHeight="1" spans="1:7">
      <c r="A631" s="3" t="str">
        <f>"629"</f>
        <v>629</v>
      </c>
      <c r="B631" s="3" t="s">
        <v>125</v>
      </c>
      <c r="C631" s="3" t="str">
        <f t="shared" si="206"/>
        <v>大托铺街道</v>
      </c>
      <c r="D631" s="3" t="str">
        <f>"大托村委会"</f>
        <v>大托村委会</v>
      </c>
      <c r="E631" s="3" t="str">
        <f t="shared" si="188"/>
        <v>140</v>
      </c>
      <c r="F631" s="3" t="str">
        <f t="shared" si="203"/>
        <v>100</v>
      </c>
      <c r="G631" s="3" t="str">
        <f t="shared" ref="G631:G644" si="207">"二级"</f>
        <v>二级</v>
      </c>
    </row>
    <row r="632" customHeight="1" spans="1:7">
      <c r="A632" s="3" t="str">
        <f>"630"</f>
        <v>630</v>
      </c>
      <c r="B632" s="3" t="s">
        <v>18</v>
      </c>
      <c r="C632" s="3" t="str">
        <f t="shared" si="206"/>
        <v>大托铺街道</v>
      </c>
      <c r="D632" s="3" t="str">
        <f>"黄合村委会"</f>
        <v>黄合村委会</v>
      </c>
      <c r="E632" s="3" t="str">
        <f t="shared" si="188"/>
        <v>140</v>
      </c>
      <c r="F632" s="3" t="str">
        <f t="shared" si="203"/>
        <v>100</v>
      </c>
      <c r="G632" s="3" t="str">
        <f t="shared" si="207"/>
        <v>二级</v>
      </c>
    </row>
    <row r="633" customHeight="1" spans="1:7">
      <c r="A633" s="3" t="str">
        <f>"631"</f>
        <v>631</v>
      </c>
      <c r="B633" s="3" t="s">
        <v>531</v>
      </c>
      <c r="C633" s="3" t="str">
        <f>"金盆岭街道"</f>
        <v>金盆岭街道</v>
      </c>
      <c r="D633" s="3" t="str">
        <f>"夏家冲社区"</f>
        <v>夏家冲社区</v>
      </c>
      <c r="E633" s="3" t="str">
        <f t="shared" si="188"/>
        <v>140</v>
      </c>
      <c r="F633" s="3" t="str">
        <f t="shared" si="203"/>
        <v>100</v>
      </c>
      <c r="G633" s="3" t="str">
        <f t="shared" si="207"/>
        <v>二级</v>
      </c>
    </row>
    <row r="634" customHeight="1" spans="1:7">
      <c r="A634" s="3" t="str">
        <f>"632"</f>
        <v>632</v>
      </c>
      <c r="B634" s="3" t="s">
        <v>532</v>
      </c>
      <c r="C634" s="3" t="str">
        <f>"大托铺街道"</f>
        <v>大托铺街道</v>
      </c>
      <c r="D634" s="3" t="str">
        <f>"新港村委会"</f>
        <v>新港村委会</v>
      </c>
      <c r="E634" s="3" t="str">
        <f t="shared" si="188"/>
        <v>140</v>
      </c>
      <c r="F634" s="3" t="str">
        <f t="shared" si="203"/>
        <v>100</v>
      </c>
      <c r="G634" s="3" t="str">
        <f t="shared" si="207"/>
        <v>二级</v>
      </c>
    </row>
    <row r="635" customHeight="1" spans="1:7">
      <c r="A635" s="3" t="str">
        <f>"633"</f>
        <v>633</v>
      </c>
      <c r="B635" s="3" t="s">
        <v>533</v>
      </c>
      <c r="C635" s="3" t="str">
        <f>"城南路街道"</f>
        <v>城南路街道</v>
      </c>
      <c r="D635" s="3" t="str">
        <f>"燕子岭社区"</f>
        <v>燕子岭社区</v>
      </c>
      <c r="E635" s="3" t="str">
        <f t="shared" si="188"/>
        <v>140</v>
      </c>
      <c r="F635" s="3" t="str">
        <f t="shared" si="203"/>
        <v>100</v>
      </c>
      <c r="G635" s="3" t="str">
        <f t="shared" si="207"/>
        <v>二级</v>
      </c>
    </row>
    <row r="636" customHeight="1" spans="1:7">
      <c r="A636" s="3" t="str">
        <f>"634"</f>
        <v>634</v>
      </c>
      <c r="B636" s="3" t="s">
        <v>139</v>
      </c>
      <c r="C636" s="3" t="str">
        <f>"桂花坪街道"</f>
        <v>桂花坪街道</v>
      </c>
      <c r="D636" s="3" t="str">
        <f>"桂庄社区"</f>
        <v>桂庄社区</v>
      </c>
      <c r="E636" s="3" t="str">
        <f t="shared" si="188"/>
        <v>140</v>
      </c>
      <c r="F636" s="3" t="str">
        <f t="shared" si="203"/>
        <v>100</v>
      </c>
      <c r="G636" s="3" t="str">
        <f t="shared" si="207"/>
        <v>二级</v>
      </c>
    </row>
    <row r="637" customHeight="1" spans="1:7">
      <c r="A637" s="3" t="str">
        <f>"635"</f>
        <v>635</v>
      </c>
      <c r="B637" s="3" t="s">
        <v>534</v>
      </c>
      <c r="C637" s="3" t="str">
        <f>"城南路街道"</f>
        <v>城南路街道</v>
      </c>
      <c r="D637" s="3" t="str">
        <f>"工农桥社区"</f>
        <v>工农桥社区</v>
      </c>
      <c r="E637" s="3" t="str">
        <f t="shared" si="188"/>
        <v>140</v>
      </c>
      <c r="F637" s="3" t="str">
        <f t="shared" si="203"/>
        <v>100</v>
      </c>
      <c r="G637" s="3" t="str">
        <f t="shared" si="207"/>
        <v>二级</v>
      </c>
    </row>
    <row r="638" customHeight="1" spans="1:7">
      <c r="A638" s="3" t="str">
        <f>"636"</f>
        <v>636</v>
      </c>
      <c r="B638" s="3" t="s">
        <v>80</v>
      </c>
      <c r="C638" s="3" t="str">
        <f>"暮云街道"</f>
        <v>暮云街道</v>
      </c>
      <c r="D638" s="3" t="str">
        <f>"莲华村"</f>
        <v>莲华村</v>
      </c>
      <c r="E638" s="3" t="str">
        <f t="shared" si="188"/>
        <v>140</v>
      </c>
      <c r="F638" s="3" t="str">
        <f t="shared" si="203"/>
        <v>100</v>
      </c>
      <c r="G638" s="3" t="str">
        <f t="shared" si="207"/>
        <v>二级</v>
      </c>
    </row>
    <row r="639" customHeight="1" spans="1:7">
      <c r="A639" s="3" t="str">
        <f>"637"</f>
        <v>637</v>
      </c>
      <c r="B639" s="3" t="s">
        <v>535</v>
      </c>
      <c r="C639" s="3" t="str">
        <f>"裕南街街道"</f>
        <v>裕南街街道</v>
      </c>
      <c r="D639" s="3" t="str">
        <f>"向东南社区"</f>
        <v>向东南社区</v>
      </c>
      <c r="E639" s="3" t="str">
        <f t="shared" si="188"/>
        <v>140</v>
      </c>
      <c r="F639" s="3" t="str">
        <f t="shared" si="203"/>
        <v>100</v>
      </c>
      <c r="G639" s="3" t="str">
        <f t="shared" si="207"/>
        <v>二级</v>
      </c>
    </row>
    <row r="640" customHeight="1" spans="1:7">
      <c r="A640" s="3" t="str">
        <f>"638"</f>
        <v>638</v>
      </c>
      <c r="B640" s="3" t="s">
        <v>70</v>
      </c>
      <c r="C640" s="3" t="str">
        <f t="shared" ref="C640:C644" si="208">"坡子街街道"</f>
        <v>坡子街街道</v>
      </c>
      <c r="D640" s="3" t="str">
        <f>"文庙坪社区"</f>
        <v>文庙坪社区</v>
      </c>
      <c r="E640" s="3" t="str">
        <f t="shared" si="188"/>
        <v>140</v>
      </c>
      <c r="F640" s="3" t="str">
        <f t="shared" si="203"/>
        <v>100</v>
      </c>
      <c r="G640" s="3" t="str">
        <f t="shared" si="207"/>
        <v>二级</v>
      </c>
    </row>
    <row r="641" customHeight="1" spans="1:7">
      <c r="A641" s="3" t="str">
        <f>"639"</f>
        <v>639</v>
      </c>
      <c r="B641" s="3" t="s">
        <v>536</v>
      </c>
      <c r="C641" s="3" t="str">
        <f>"城南路街道"</f>
        <v>城南路街道</v>
      </c>
      <c r="D641" s="3" t="str">
        <f>"古道巷社区"</f>
        <v>古道巷社区</v>
      </c>
      <c r="E641" s="3" t="str">
        <f t="shared" si="188"/>
        <v>140</v>
      </c>
      <c r="F641" s="3" t="str">
        <f t="shared" si="203"/>
        <v>100</v>
      </c>
      <c r="G641" s="3" t="str">
        <f t="shared" si="207"/>
        <v>二级</v>
      </c>
    </row>
    <row r="642" customHeight="1" spans="1:7">
      <c r="A642" s="3" t="str">
        <f>"640"</f>
        <v>640</v>
      </c>
      <c r="B642" s="3" t="s">
        <v>160</v>
      </c>
      <c r="C642" s="3" t="str">
        <f t="shared" si="208"/>
        <v>坡子街街道</v>
      </c>
      <c r="D642" s="3" t="str">
        <f>"西湖社区"</f>
        <v>西湖社区</v>
      </c>
      <c r="E642" s="3" t="str">
        <f t="shared" si="188"/>
        <v>140</v>
      </c>
      <c r="F642" s="3" t="str">
        <f t="shared" si="203"/>
        <v>100</v>
      </c>
      <c r="G642" s="3" t="str">
        <f t="shared" si="207"/>
        <v>二级</v>
      </c>
    </row>
    <row r="643" customHeight="1" spans="1:7">
      <c r="A643" s="3" t="str">
        <f>"641"</f>
        <v>641</v>
      </c>
      <c r="B643" s="3" t="s">
        <v>537</v>
      </c>
      <c r="C643" s="3" t="str">
        <f>"新开铺街道"</f>
        <v>新开铺街道</v>
      </c>
      <c r="D643" s="3" t="str">
        <f>"新开铺社区"</f>
        <v>新开铺社区</v>
      </c>
      <c r="E643" s="3" t="str">
        <f t="shared" ref="E643:E706" si="209">"140"</f>
        <v>140</v>
      </c>
      <c r="F643" s="3" t="str">
        <f t="shared" si="203"/>
        <v>100</v>
      </c>
      <c r="G643" s="3" t="str">
        <f t="shared" si="207"/>
        <v>二级</v>
      </c>
    </row>
    <row r="644" customHeight="1" spans="1:7">
      <c r="A644" s="3" t="str">
        <f>"642"</f>
        <v>642</v>
      </c>
      <c r="B644" s="3" t="s">
        <v>538</v>
      </c>
      <c r="C644" s="3" t="str">
        <f t="shared" si="208"/>
        <v>坡子街街道</v>
      </c>
      <c r="D644" s="3" t="str">
        <f>"青山祠社区"</f>
        <v>青山祠社区</v>
      </c>
      <c r="E644" s="3" t="str">
        <f t="shared" si="209"/>
        <v>140</v>
      </c>
      <c r="F644" s="3" t="str">
        <f t="shared" si="203"/>
        <v>100</v>
      </c>
      <c r="G644" s="3" t="str">
        <f t="shared" si="207"/>
        <v>二级</v>
      </c>
    </row>
    <row r="645" customHeight="1" spans="1:7">
      <c r="A645" s="3" t="str">
        <f>"643"</f>
        <v>643</v>
      </c>
      <c r="B645" s="3" t="s">
        <v>539</v>
      </c>
      <c r="C645" s="3" t="str">
        <f>"裕南街街道"</f>
        <v>裕南街街道</v>
      </c>
      <c r="D645" s="3" t="str">
        <f>"向东南社区"</f>
        <v>向东南社区</v>
      </c>
      <c r="E645" s="3" t="str">
        <f t="shared" si="209"/>
        <v>140</v>
      </c>
      <c r="F645" s="3" t="str">
        <f t="shared" si="203"/>
        <v>100</v>
      </c>
      <c r="G645" s="3" t="str">
        <f t="shared" ref="G645:G653" si="210">"一级"</f>
        <v>一级</v>
      </c>
    </row>
    <row r="646" customHeight="1" spans="1:7">
      <c r="A646" s="3" t="str">
        <f>"644"</f>
        <v>644</v>
      </c>
      <c r="B646" s="3" t="s">
        <v>540</v>
      </c>
      <c r="C646" s="3" t="str">
        <f>"南托街道"</f>
        <v>南托街道</v>
      </c>
      <c r="D646" s="3" t="str">
        <f>"融城社区"</f>
        <v>融城社区</v>
      </c>
      <c r="E646" s="3" t="str">
        <f t="shared" si="209"/>
        <v>140</v>
      </c>
      <c r="F646" s="3" t="str">
        <f t="shared" si="203"/>
        <v>100</v>
      </c>
      <c r="G646" s="3" t="str">
        <f t="shared" si="210"/>
        <v>一级</v>
      </c>
    </row>
    <row r="647" customHeight="1" spans="1:7">
      <c r="A647" s="3" t="str">
        <f>"645"</f>
        <v>645</v>
      </c>
      <c r="B647" s="3" t="s">
        <v>541</v>
      </c>
      <c r="C647" s="3" t="str">
        <f>"青园街道"</f>
        <v>青园街道</v>
      </c>
      <c r="D647" s="3" t="str">
        <f>"友谊社区"</f>
        <v>友谊社区</v>
      </c>
      <c r="E647" s="3" t="str">
        <f t="shared" si="209"/>
        <v>140</v>
      </c>
      <c r="F647" s="3" t="str">
        <f t="shared" si="203"/>
        <v>100</v>
      </c>
      <c r="G647" s="3" t="str">
        <f t="shared" ref="G647:G649" si="211">"二级"</f>
        <v>二级</v>
      </c>
    </row>
    <row r="648" customHeight="1" spans="1:7">
      <c r="A648" s="3" t="str">
        <f>"646"</f>
        <v>646</v>
      </c>
      <c r="B648" s="3" t="s">
        <v>542</v>
      </c>
      <c r="C648" s="3" t="str">
        <f>"裕南街街道"</f>
        <v>裕南街街道</v>
      </c>
      <c r="D648" s="3" t="str">
        <f>"杏花园社区"</f>
        <v>杏花园社区</v>
      </c>
      <c r="E648" s="3" t="str">
        <f t="shared" si="209"/>
        <v>140</v>
      </c>
      <c r="F648" s="3" t="str">
        <f t="shared" si="203"/>
        <v>100</v>
      </c>
      <c r="G648" s="3" t="str">
        <f t="shared" si="211"/>
        <v>二级</v>
      </c>
    </row>
    <row r="649" customHeight="1" spans="1:7">
      <c r="A649" s="3" t="str">
        <f>"647"</f>
        <v>647</v>
      </c>
      <c r="B649" s="3" t="s">
        <v>543</v>
      </c>
      <c r="C649" s="3" t="str">
        <f>"赤岭路街道"</f>
        <v>赤岭路街道</v>
      </c>
      <c r="D649" s="3" t="str">
        <f>"广厦新村社区"</f>
        <v>广厦新村社区</v>
      </c>
      <c r="E649" s="3" t="str">
        <f t="shared" si="209"/>
        <v>140</v>
      </c>
      <c r="F649" s="3" t="str">
        <f t="shared" si="203"/>
        <v>100</v>
      </c>
      <c r="G649" s="3" t="str">
        <f t="shared" si="211"/>
        <v>二级</v>
      </c>
    </row>
    <row r="650" customHeight="1" spans="1:7">
      <c r="A650" s="3" t="str">
        <f>"648"</f>
        <v>648</v>
      </c>
      <c r="B650" s="3" t="s">
        <v>544</v>
      </c>
      <c r="C650" s="3" t="str">
        <f>"文源街道"</f>
        <v>文源街道</v>
      </c>
      <c r="D650" s="3" t="str">
        <f>"状元坡社区"</f>
        <v>状元坡社区</v>
      </c>
      <c r="E650" s="3" t="str">
        <f t="shared" si="209"/>
        <v>140</v>
      </c>
      <c r="F650" s="3" t="str">
        <f t="shared" si="203"/>
        <v>100</v>
      </c>
      <c r="G650" s="3" t="str">
        <f t="shared" si="210"/>
        <v>一级</v>
      </c>
    </row>
    <row r="651" customHeight="1" spans="1:7">
      <c r="A651" s="3" t="str">
        <f>"649"</f>
        <v>649</v>
      </c>
      <c r="B651" s="3" t="s">
        <v>545</v>
      </c>
      <c r="C651" s="3" t="str">
        <f>"裕南街街道"</f>
        <v>裕南街街道</v>
      </c>
      <c r="D651" s="3" t="str">
        <f>"火把山社区"</f>
        <v>火把山社区</v>
      </c>
      <c r="E651" s="3" t="str">
        <f t="shared" si="209"/>
        <v>140</v>
      </c>
      <c r="F651" s="3" t="str">
        <f t="shared" si="203"/>
        <v>100</v>
      </c>
      <c r="G651" s="3" t="str">
        <f t="shared" si="210"/>
        <v>一级</v>
      </c>
    </row>
    <row r="652" customHeight="1" spans="1:7">
      <c r="A652" s="3" t="str">
        <f>"650"</f>
        <v>650</v>
      </c>
      <c r="B652" s="3" t="s">
        <v>546</v>
      </c>
      <c r="C652" s="3" t="str">
        <f>"大托铺街道"</f>
        <v>大托铺街道</v>
      </c>
      <c r="D652" s="3" t="str">
        <f>"黄合村委会"</f>
        <v>黄合村委会</v>
      </c>
      <c r="E652" s="3" t="str">
        <f t="shared" si="209"/>
        <v>140</v>
      </c>
      <c r="F652" s="3" t="str">
        <f t="shared" si="203"/>
        <v>100</v>
      </c>
      <c r="G652" s="3" t="str">
        <f t="shared" si="210"/>
        <v>一级</v>
      </c>
    </row>
    <row r="653" customHeight="1" spans="1:7">
      <c r="A653" s="3" t="str">
        <f>"651"</f>
        <v>651</v>
      </c>
      <c r="B653" s="3" t="s">
        <v>547</v>
      </c>
      <c r="C653" s="3" t="str">
        <f>"桂花坪街道"</f>
        <v>桂花坪街道</v>
      </c>
      <c r="D653" s="3" t="str">
        <f>"新园社区"</f>
        <v>新园社区</v>
      </c>
      <c r="E653" s="3" t="str">
        <f t="shared" si="209"/>
        <v>140</v>
      </c>
      <c r="F653" s="3" t="str">
        <f t="shared" si="203"/>
        <v>100</v>
      </c>
      <c r="G653" s="3" t="str">
        <f t="shared" si="210"/>
        <v>一级</v>
      </c>
    </row>
    <row r="654" customHeight="1" spans="1:7">
      <c r="A654" s="3" t="str">
        <f>"652"</f>
        <v>652</v>
      </c>
      <c r="B654" s="3" t="s">
        <v>532</v>
      </c>
      <c r="C654" s="3" t="str">
        <f t="shared" ref="C654:C661" si="212">"南托街道"</f>
        <v>南托街道</v>
      </c>
      <c r="D654" s="3" t="str">
        <f t="shared" ref="D654:D661" si="213">"牛角塘社区"</f>
        <v>牛角塘社区</v>
      </c>
      <c r="E654" s="3" t="str">
        <f t="shared" si="209"/>
        <v>140</v>
      </c>
      <c r="F654" s="3" t="str">
        <f t="shared" si="203"/>
        <v>100</v>
      </c>
      <c r="G654" s="3" t="str">
        <f t="shared" ref="G654:G659" si="214">"二级"</f>
        <v>二级</v>
      </c>
    </row>
    <row r="655" customHeight="1" spans="1:7">
      <c r="A655" s="3" t="str">
        <f>"653"</f>
        <v>653</v>
      </c>
      <c r="B655" s="3" t="s">
        <v>548</v>
      </c>
      <c r="C655" s="3" t="str">
        <f>"坡子街街道"</f>
        <v>坡子街街道</v>
      </c>
      <c r="D655" s="3" t="str">
        <f>"西湖社区"</f>
        <v>西湖社区</v>
      </c>
      <c r="E655" s="3" t="str">
        <f t="shared" si="209"/>
        <v>140</v>
      </c>
      <c r="F655" s="3" t="str">
        <f t="shared" si="203"/>
        <v>100</v>
      </c>
      <c r="G655" s="3" t="str">
        <f t="shared" si="214"/>
        <v>二级</v>
      </c>
    </row>
    <row r="656" customHeight="1" spans="1:7">
      <c r="A656" s="3" t="str">
        <f>"654"</f>
        <v>654</v>
      </c>
      <c r="B656" s="3" t="s">
        <v>549</v>
      </c>
      <c r="C656" s="3" t="str">
        <f>"裕南街街道"</f>
        <v>裕南街街道</v>
      </c>
      <c r="D656" s="3" t="str">
        <f>"火把山社区"</f>
        <v>火把山社区</v>
      </c>
      <c r="E656" s="3" t="str">
        <f t="shared" si="209"/>
        <v>140</v>
      </c>
      <c r="F656" s="3" t="str">
        <f t="shared" si="203"/>
        <v>100</v>
      </c>
      <c r="G656" s="3" t="str">
        <f>"一级"</f>
        <v>一级</v>
      </c>
    </row>
    <row r="657" customHeight="1" spans="1:7">
      <c r="A657" s="3" t="str">
        <f>"655"</f>
        <v>655</v>
      </c>
      <c r="B657" s="3" t="s">
        <v>550</v>
      </c>
      <c r="C657" s="3" t="str">
        <f t="shared" si="212"/>
        <v>南托街道</v>
      </c>
      <c r="D657" s="3" t="str">
        <f t="shared" si="213"/>
        <v>牛角塘社区</v>
      </c>
      <c r="E657" s="3" t="str">
        <f t="shared" si="209"/>
        <v>140</v>
      </c>
      <c r="F657" s="3" t="str">
        <f t="shared" si="203"/>
        <v>100</v>
      </c>
      <c r="G657" s="3" t="str">
        <f t="shared" si="214"/>
        <v>二级</v>
      </c>
    </row>
    <row r="658" customHeight="1" spans="1:7">
      <c r="A658" s="3" t="str">
        <f>"656"</f>
        <v>656</v>
      </c>
      <c r="B658" s="3" t="s">
        <v>551</v>
      </c>
      <c r="C658" s="3" t="str">
        <f t="shared" si="212"/>
        <v>南托街道</v>
      </c>
      <c r="D658" s="3" t="str">
        <f t="shared" si="213"/>
        <v>牛角塘社区</v>
      </c>
      <c r="E658" s="3" t="str">
        <f t="shared" si="209"/>
        <v>140</v>
      </c>
      <c r="F658" s="3" t="str">
        <f t="shared" si="203"/>
        <v>100</v>
      </c>
      <c r="G658" s="3" t="str">
        <f t="shared" si="214"/>
        <v>二级</v>
      </c>
    </row>
    <row r="659" customHeight="1" spans="1:7">
      <c r="A659" s="3" t="str">
        <f>"657"</f>
        <v>657</v>
      </c>
      <c r="B659" s="3" t="s">
        <v>552</v>
      </c>
      <c r="C659" s="3" t="str">
        <f t="shared" si="212"/>
        <v>南托街道</v>
      </c>
      <c r="D659" s="3" t="str">
        <f t="shared" si="213"/>
        <v>牛角塘社区</v>
      </c>
      <c r="E659" s="3" t="str">
        <f t="shared" si="209"/>
        <v>140</v>
      </c>
      <c r="F659" s="3" t="str">
        <f t="shared" si="203"/>
        <v>100</v>
      </c>
      <c r="G659" s="3" t="str">
        <f t="shared" si="214"/>
        <v>二级</v>
      </c>
    </row>
    <row r="660" customHeight="1" spans="1:7">
      <c r="A660" s="3" t="str">
        <f>"658"</f>
        <v>658</v>
      </c>
      <c r="B660" s="3" t="s">
        <v>72</v>
      </c>
      <c r="C660" s="3" t="str">
        <f t="shared" si="212"/>
        <v>南托街道</v>
      </c>
      <c r="D660" s="3" t="str">
        <f t="shared" si="213"/>
        <v>牛角塘社区</v>
      </c>
      <c r="E660" s="3" t="str">
        <f t="shared" si="209"/>
        <v>140</v>
      </c>
      <c r="F660" s="3" t="str">
        <f t="shared" si="203"/>
        <v>100</v>
      </c>
      <c r="G660" s="3" t="str">
        <f>"一级"</f>
        <v>一级</v>
      </c>
    </row>
    <row r="661" customHeight="1" spans="1:7">
      <c r="A661" s="3" t="str">
        <f>"659"</f>
        <v>659</v>
      </c>
      <c r="B661" s="3" t="s">
        <v>150</v>
      </c>
      <c r="C661" s="3" t="str">
        <f t="shared" si="212"/>
        <v>南托街道</v>
      </c>
      <c r="D661" s="3" t="str">
        <f t="shared" si="213"/>
        <v>牛角塘社区</v>
      </c>
      <c r="E661" s="3" t="str">
        <f t="shared" si="209"/>
        <v>140</v>
      </c>
      <c r="F661" s="3" t="str">
        <f t="shared" si="203"/>
        <v>100</v>
      </c>
      <c r="G661" s="3" t="str">
        <f t="shared" ref="G661:G664" si="215">"二级"</f>
        <v>二级</v>
      </c>
    </row>
    <row r="662" customHeight="1" spans="1:7">
      <c r="A662" s="3" t="str">
        <f>"660"</f>
        <v>660</v>
      </c>
      <c r="B662" s="3" t="s">
        <v>418</v>
      </c>
      <c r="C662" s="3" t="str">
        <f>"先锋街道"</f>
        <v>先锋街道</v>
      </c>
      <c r="D662" s="3" t="str">
        <f>"新宇社区"</f>
        <v>新宇社区</v>
      </c>
      <c r="E662" s="3" t="str">
        <f t="shared" si="209"/>
        <v>140</v>
      </c>
      <c r="F662" s="3" t="str">
        <f t="shared" si="203"/>
        <v>100</v>
      </c>
      <c r="G662" s="3" t="str">
        <f t="shared" si="215"/>
        <v>二级</v>
      </c>
    </row>
    <row r="663" customHeight="1" spans="1:7">
      <c r="A663" s="3" t="str">
        <f>"661"</f>
        <v>661</v>
      </c>
      <c r="B663" s="3" t="s">
        <v>41</v>
      </c>
      <c r="C663" s="3" t="str">
        <f>"暮云街道"</f>
        <v>暮云街道</v>
      </c>
      <c r="D663" s="3" t="str">
        <f>"暮云社区"</f>
        <v>暮云社区</v>
      </c>
      <c r="E663" s="3" t="str">
        <f t="shared" si="209"/>
        <v>140</v>
      </c>
      <c r="F663" s="3" t="str">
        <f t="shared" si="203"/>
        <v>100</v>
      </c>
      <c r="G663" s="3" t="str">
        <f t="shared" si="215"/>
        <v>二级</v>
      </c>
    </row>
    <row r="664" customHeight="1" spans="1:7">
      <c r="A664" s="3" t="str">
        <f>"662"</f>
        <v>662</v>
      </c>
      <c r="B664" s="3" t="s">
        <v>553</v>
      </c>
      <c r="C664" s="3" t="str">
        <f>"大托铺街道"</f>
        <v>大托铺街道</v>
      </c>
      <c r="D664" s="3" t="str">
        <f>"兴隆村委会"</f>
        <v>兴隆村委会</v>
      </c>
      <c r="E664" s="3" t="str">
        <f t="shared" si="209"/>
        <v>140</v>
      </c>
      <c r="F664" s="3" t="str">
        <f t="shared" si="203"/>
        <v>100</v>
      </c>
      <c r="G664" s="3" t="str">
        <f t="shared" si="215"/>
        <v>二级</v>
      </c>
    </row>
    <row r="665" customHeight="1" spans="1:7">
      <c r="A665" s="3" t="str">
        <f>"663"</f>
        <v>663</v>
      </c>
      <c r="B665" s="3" t="s">
        <v>554</v>
      </c>
      <c r="C665" s="3" t="str">
        <f>"大托铺街道"</f>
        <v>大托铺街道</v>
      </c>
      <c r="D665" s="3" t="str">
        <f>"桂井村委会"</f>
        <v>桂井村委会</v>
      </c>
      <c r="E665" s="3" t="str">
        <f t="shared" si="209"/>
        <v>140</v>
      </c>
      <c r="F665" s="3" t="str">
        <f t="shared" si="203"/>
        <v>100</v>
      </c>
      <c r="G665" s="3" t="str">
        <f t="shared" ref="G665:G668" si="216">"一级"</f>
        <v>一级</v>
      </c>
    </row>
    <row r="666" customHeight="1" spans="1:7">
      <c r="A666" s="3" t="str">
        <f>"664"</f>
        <v>664</v>
      </c>
      <c r="B666" s="3" t="s">
        <v>555</v>
      </c>
      <c r="C666" s="3" t="str">
        <f>"赤岭路街道"</f>
        <v>赤岭路街道</v>
      </c>
      <c r="D666" s="3" t="str">
        <f>"南大桥社区"</f>
        <v>南大桥社区</v>
      </c>
      <c r="E666" s="3" t="str">
        <f t="shared" si="209"/>
        <v>140</v>
      </c>
      <c r="F666" s="3" t="str">
        <f t="shared" si="203"/>
        <v>100</v>
      </c>
      <c r="G666" s="3" t="str">
        <f t="shared" si="216"/>
        <v>一级</v>
      </c>
    </row>
    <row r="667" customHeight="1" spans="1:7">
      <c r="A667" s="3" t="str">
        <f>"665"</f>
        <v>665</v>
      </c>
      <c r="B667" s="3" t="s">
        <v>76</v>
      </c>
      <c r="C667" s="3" t="str">
        <f>"暮云街道"</f>
        <v>暮云街道</v>
      </c>
      <c r="D667" s="3" t="str">
        <f>"暮云新村"</f>
        <v>暮云新村</v>
      </c>
      <c r="E667" s="3" t="str">
        <f t="shared" si="209"/>
        <v>140</v>
      </c>
      <c r="F667" s="3" t="str">
        <f t="shared" si="203"/>
        <v>100</v>
      </c>
      <c r="G667" s="3" t="str">
        <f t="shared" ref="G667:G670" si="217">"二级"</f>
        <v>二级</v>
      </c>
    </row>
    <row r="668" customHeight="1" spans="1:7">
      <c r="A668" s="3" t="str">
        <f>"666"</f>
        <v>666</v>
      </c>
      <c r="B668" s="3" t="s">
        <v>208</v>
      </c>
      <c r="C668" s="3" t="str">
        <f>"新开铺街道"</f>
        <v>新开铺街道</v>
      </c>
      <c r="D668" s="3" t="str">
        <f>"木莲社区"</f>
        <v>木莲社区</v>
      </c>
      <c r="E668" s="3" t="str">
        <f t="shared" si="209"/>
        <v>140</v>
      </c>
      <c r="F668" s="3" t="str">
        <f t="shared" si="203"/>
        <v>100</v>
      </c>
      <c r="G668" s="3" t="str">
        <f t="shared" si="216"/>
        <v>一级</v>
      </c>
    </row>
    <row r="669" customHeight="1" spans="1:7">
      <c r="A669" s="3" t="str">
        <f>"667"</f>
        <v>667</v>
      </c>
      <c r="B669" s="3" t="s">
        <v>556</v>
      </c>
      <c r="C669" s="3" t="str">
        <f>"裕南街街道"</f>
        <v>裕南街街道</v>
      </c>
      <c r="D669" s="3" t="str">
        <f>"宝塔山社区"</f>
        <v>宝塔山社区</v>
      </c>
      <c r="E669" s="3" t="str">
        <f t="shared" si="209"/>
        <v>140</v>
      </c>
      <c r="F669" s="3" t="str">
        <f t="shared" si="203"/>
        <v>100</v>
      </c>
      <c r="G669" s="3" t="str">
        <f t="shared" si="217"/>
        <v>二级</v>
      </c>
    </row>
    <row r="670" customHeight="1" spans="1:7">
      <c r="A670" s="3" t="str">
        <f>"668"</f>
        <v>668</v>
      </c>
      <c r="B670" s="3" t="s">
        <v>557</v>
      </c>
      <c r="C670" s="3" t="str">
        <f>"城南路街道"</f>
        <v>城南路街道</v>
      </c>
      <c r="D670" s="3" t="str">
        <f>"吴家坪社区"</f>
        <v>吴家坪社区</v>
      </c>
      <c r="E670" s="3" t="str">
        <f t="shared" si="209"/>
        <v>140</v>
      </c>
      <c r="F670" s="3" t="str">
        <f t="shared" si="203"/>
        <v>100</v>
      </c>
      <c r="G670" s="3" t="str">
        <f t="shared" si="217"/>
        <v>二级</v>
      </c>
    </row>
    <row r="671" customHeight="1" spans="1:7">
      <c r="A671" s="3" t="str">
        <f>"669"</f>
        <v>669</v>
      </c>
      <c r="B671" s="3" t="s">
        <v>558</v>
      </c>
      <c r="C671" s="3" t="str">
        <f>"文源街道"</f>
        <v>文源街道</v>
      </c>
      <c r="D671" s="3" t="str">
        <f>"天鸿社区"</f>
        <v>天鸿社区</v>
      </c>
      <c r="E671" s="3" t="str">
        <f t="shared" si="209"/>
        <v>140</v>
      </c>
      <c r="F671" s="3" t="str">
        <f t="shared" si="203"/>
        <v>100</v>
      </c>
      <c r="G671" s="3" t="str">
        <f t="shared" ref="G671:G674" si="218">"一级"</f>
        <v>一级</v>
      </c>
    </row>
    <row r="672" customHeight="1" spans="1:7">
      <c r="A672" s="3" t="str">
        <f>"670"</f>
        <v>670</v>
      </c>
      <c r="B672" s="3" t="s">
        <v>126</v>
      </c>
      <c r="C672" s="3" t="str">
        <f>"坡子街街道"</f>
        <v>坡子街街道</v>
      </c>
      <c r="D672" s="3" t="str">
        <f>"坡子街社区"</f>
        <v>坡子街社区</v>
      </c>
      <c r="E672" s="3" t="str">
        <f t="shared" si="209"/>
        <v>140</v>
      </c>
      <c r="F672" s="3" t="str">
        <f t="shared" si="203"/>
        <v>100</v>
      </c>
      <c r="G672" s="3" t="str">
        <f t="shared" si="218"/>
        <v>一级</v>
      </c>
    </row>
    <row r="673" customHeight="1" spans="1:7">
      <c r="A673" s="3" t="str">
        <f>"671"</f>
        <v>671</v>
      </c>
      <c r="B673" s="3" t="s">
        <v>559</v>
      </c>
      <c r="C673" s="3" t="str">
        <f>"南托街道"</f>
        <v>南托街道</v>
      </c>
      <c r="D673" s="3" t="str">
        <f>"北塘社区"</f>
        <v>北塘社区</v>
      </c>
      <c r="E673" s="3" t="str">
        <f t="shared" si="209"/>
        <v>140</v>
      </c>
      <c r="F673" s="3" t="str">
        <f t="shared" si="203"/>
        <v>100</v>
      </c>
      <c r="G673" s="3" t="str">
        <f t="shared" ref="G673:G679" si="219">"二级"</f>
        <v>二级</v>
      </c>
    </row>
    <row r="674" customHeight="1" spans="1:7">
      <c r="A674" s="3" t="str">
        <f>"672"</f>
        <v>672</v>
      </c>
      <c r="B674" s="3" t="s">
        <v>560</v>
      </c>
      <c r="C674" s="3" t="str">
        <f>"暮云街道"</f>
        <v>暮云街道</v>
      </c>
      <c r="D674" s="3" t="str">
        <f>"暮云新村"</f>
        <v>暮云新村</v>
      </c>
      <c r="E674" s="3" t="str">
        <f t="shared" si="209"/>
        <v>140</v>
      </c>
      <c r="F674" s="3" t="str">
        <f t="shared" si="203"/>
        <v>100</v>
      </c>
      <c r="G674" s="3" t="str">
        <f t="shared" si="218"/>
        <v>一级</v>
      </c>
    </row>
    <row r="675" customHeight="1" spans="1:7">
      <c r="A675" s="3" t="str">
        <f>"673"</f>
        <v>673</v>
      </c>
      <c r="B675" s="3" t="s">
        <v>561</v>
      </c>
      <c r="C675" s="3" t="str">
        <f>"裕南街街道"</f>
        <v>裕南街街道</v>
      </c>
      <c r="D675" s="3" t="str">
        <f>"南站社区"</f>
        <v>南站社区</v>
      </c>
      <c r="E675" s="3" t="str">
        <f t="shared" si="209"/>
        <v>140</v>
      </c>
      <c r="F675" s="3" t="str">
        <f t="shared" si="203"/>
        <v>100</v>
      </c>
      <c r="G675" s="3" t="str">
        <f t="shared" si="219"/>
        <v>二级</v>
      </c>
    </row>
    <row r="676" customHeight="1" spans="1:7">
      <c r="A676" s="3" t="str">
        <f>"674"</f>
        <v>674</v>
      </c>
      <c r="B676" s="3" t="s">
        <v>562</v>
      </c>
      <c r="C676" s="3" t="str">
        <f>"南托街道"</f>
        <v>南托街道</v>
      </c>
      <c r="D676" s="3" t="str">
        <f>"沿江村"</f>
        <v>沿江村</v>
      </c>
      <c r="E676" s="3" t="str">
        <f t="shared" si="209"/>
        <v>140</v>
      </c>
      <c r="F676" s="3" t="str">
        <f t="shared" si="203"/>
        <v>100</v>
      </c>
      <c r="G676" s="3" t="str">
        <f t="shared" si="219"/>
        <v>二级</v>
      </c>
    </row>
    <row r="677" customHeight="1" spans="1:7">
      <c r="A677" s="3" t="str">
        <f>"675"</f>
        <v>675</v>
      </c>
      <c r="B677" s="3" t="s">
        <v>563</v>
      </c>
      <c r="C677" s="3" t="str">
        <f>"文源街道"</f>
        <v>文源街道</v>
      </c>
      <c r="D677" s="3" t="str">
        <f>"文源社区"</f>
        <v>文源社区</v>
      </c>
      <c r="E677" s="3" t="str">
        <f t="shared" si="209"/>
        <v>140</v>
      </c>
      <c r="F677" s="3" t="str">
        <f t="shared" si="203"/>
        <v>100</v>
      </c>
      <c r="G677" s="3" t="str">
        <f t="shared" si="219"/>
        <v>二级</v>
      </c>
    </row>
    <row r="678" customHeight="1" spans="1:7">
      <c r="A678" s="3" t="str">
        <f>"676"</f>
        <v>676</v>
      </c>
      <c r="B678" s="3" t="s">
        <v>564</v>
      </c>
      <c r="C678" s="3" t="str">
        <f>"坡子街街道"</f>
        <v>坡子街街道</v>
      </c>
      <c r="D678" s="3" t="str">
        <f>"青山祠社区"</f>
        <v>青山祠社区</v>
      </c>
      <c r="E678" s="3" t="str">
        <f t="shared" si="209"/>
        <v>140</v>
      </c>
      <c r="F678" s="3" t="str">
        <f t="shared" si="203"/>
        <v>100</v>
      </c>
      <c r="G678" s="3" t="str">
        <f t="shared" si="219"/>
        <v>二级</v>
      </c>
    </row>
    <row r="679" customHeight="1" spans="1:7">
      <c r="A679" s="3" t="str">
        <f>"677"</f>
        <v>677</v>
      </c>
      <c r="B679" s="3" t="s">
        <v>565</v>
      </c>
      <c r="C679" s="3" t="str">
        <f>"南托街道"</f>
        <v>南托街道</v>
      </c>
      <c r="D679" s="3" t="str">
        <f>"牛角塘社区"</f>
        <v>牛角塘社区</v>
      </c>
      <c r="E679" s="3" t="str">
        <f t="shared" si="209"/>
        <v>140</v>
      </c>
      <c r="F679" s="3" t="str">
        <f t="shared" si="203"/>
        <v>100</v>
      </c>
      <c r="G679" s="3" t="str">
        <f t="shared" si="219"/>
        <v>二级</v>
      </c>
    </row>
    <row r="680" customHeight="1" spans="1:7">
      <c r="A680" s="3" t="str">
        <f>"678"</f>
        <v>678</v>
      </c>
      <c r="B680" s="3" t="s">
        <v>132</v>
      </c>
      <c r="C680" s="3" t="str">
        <f>"文源街道"</f>
        <v>文源街道</v>
      </c>
      <c r="D680" s="3" t="str">
        <f>"文源社区"</f>
        <v>文源社区</v>
      </c>
      <c r="E680" s="3" t="str">
        <f t="shared" si="209"/>
        <v>140</v>
      </c>
      <c r="F680" s="3" t="str">
        <f t="shared" si="203"/>
        <v>100</v>
      </c>
      <c r="G680" s="3" t="str">
        <f>"一级"</f>
        <v>一级</v>
      </c>
    </row>
    <row r="681" customHeight="1" spans="1:7">
      <c r="A681" s="3" t="str">
        <f>"679"</f>
        <v>679</v>
      </c>
      <c r="B681" s="3" t="s">
        <v>566</v>
      </c>
      <c r="C681" s="3" t="str">
        <f>"金盆岭街道"</f>
        <v>金盆岭街道</v>
      </c>
      <c r="D681" s="3" t="str">
        <f>"狮子山社区"</f>
        <v>狮子山社区</v>
      </c>
      <c r="E681" s="3" t="str">
        <f t="shared" si="209"/>
        <v>140</v>
      </c>
      <c r="F681" s="3" t="str">
        <f t="shared" si="203"/>
        <v>100</v>
      </c>
      <c r="G681" s="3" t="str">
        <f t="shared" ref="G681:G684" si="220">"二级"</f>
        <v>二级</v>
      </c>
    </row>
    <row r="682" customHeight="1" spans="1:7">
      <c r="A682" s="3" t="str">
        <f>"680"</f>
        <v>680</v>
      </c>
      <c r="B682" s="3" t="s">
        <v>80</v>
      </c>
      <c r="C682" s="3" t="str">
        <f>"青园街道"</f>
        <v>青园街道</v>
      </c>
      <c r="D682" s="3" t="str">
        <f>"友谊社区"</f>
        <v>友谊社区</v>
      </c>
      <c r="E682" s="3" t="str">
        <f t="shared" si="209"/>
        <v>140</v>
      </c>
      <c r="F682" s="3" t="str">
        <f t="shared" si="203"/>
        <v>100</v>
      </c>
      <c r="G682" s="3" t="str">
        <f t="shared" si="220"/>
        <v>二级</v>
      </c>
    </row>
    <row r="683" customHeight="1" spans="1:7">
      <c r="A683" s="3" t="str">
        <f>"681"</f>
        <v>681</v>
      </c>
      <c r="B683" s="3" t="s">
        <v>567</v>
      </c>
      <c r="C683" s="3" t="str">
        <f>"暮云街道"</f>
        <v>暮云街道</v>
      </c>
      <c r="D683" s="3" t="str">
        <f>"暮云社区"</f>
        <v>暮云社区</v>
      </c>
      <c r="E683" s="3" t="str">
        <f t="shared" si="209"/>
        <v>140</v>
      </c>
      <c r="F683" s="3" t="str">
        <f t="shared" si="203"/>
        <v>100</v>
      </c>
      <c r="G683" s="3" t="str">
        <f t="shared" si="220"/>
        <v>二级</v>
      </c>
    </row>
    <row r="684" customHeight="1" spans="1:7">
      <c r="A684" s="3" t="str">
        <f>"682"</f>
        <v>682</v>
      </c>
      <c r="B684" s="3" t="s">
        <v>568</v>
      </c>
      <c r="C684" s="3" t="str">
        <f>"青园街道"</f>
        <v>青园街道</v>
      </c>
      <c r="D684" s="3" t="str">
        <f>"友谊社区"</f>
        <v>友谊社区</v>
      </c>
      <c r="E684" s="3" t="str">
        <f t="shared" si="209"/>
        <v>140</v>
      </c>
      <c r="F684" s="3" t="str">
        <f t="shared" si="203"/>
        <v>100</v>
      </c>
      <c r="G684" s="3" t="str">
        <f t="shared" si="220"/>
        <v>二级</v>
      </c>
    </row>
    <row r="685" customHeight="1" spans="1:7">
      <c r="A685" s="3" t="str">
        <f>"683"</f>
        <v>683</v>
      </c>
      <c r="B685" s="3" t="s">
        <v>135</v>
      </c>
      <c r="C685" s="3" t="str">
        <f t="shared" ref="C685:C691" si="221">"裕南街街道"</f>
        <v>裕南街街道</v>
      </c>
      <c r="D685" s="3" t="str">
        <f>"石子冲社区"</f>
        <v>石子冲社区</v>
      </c>
      <c r="E685" s="3" t="str">
        <f t="shared" si="209"/>
        <v>140</v>
      </c>
      <c r="F685" s="3" t="str">
        <f t="shared" ref="F685:F726" si="222">"100"</f>
        <v>100</v>
      </c>
      <c r="G685" s="3" t="str">
        <f>"一级"</f>
        <v>一级</v>
      </c>
    </row>
    <row r="686" customHeight="1" spans="1:7">
      <c r="A686" s="3" t="str">
        <f>"684"</f>
        <v>684</v>
      </c>
      <c r="B686" s="3" t="s">
        <v>569</v>
      </c>
      <c r="C686" s="3" t="str">
        <f>"桂花坪街道"</f>
        <v>桂花坪街道</v>
      </c>
      <c r="D686" s="3" t="str">
        <f>"新园社区"</f>
        <v>新园社区</v>
      </c>
      <c r="E686" s="3" t="str">
        <f t="shared" si="209"/>
        <v>140</v>
      </c>
      <c r="F686" s="3" t="str">
        <f t="shared" si="222"/>
        <v>100</v>
      </c>
      <c r="G686" s="3" t="str">
        <f t="shared" ref="G686:G692" si="223">"二级"</f>
        <v>二级</v>
      </c>
    </row>
    <row r="687" customHeight="1" spans="1:7">
      <c r="A687" s="3" t="str">
        <f>"685"</f>
        <v>685</v>
      </c>
      <c r="B687" s="3" t="s">
        <v>570</v>
      </c>
      <c r="C687" s="3" t="str">
        <f>"金盆岭街道"</f>
        <v>金盆岭街道</v>
      </c>
      <c r="D687" s="3" t="str">
        <f>"涂新社区"</f>
        <v>涂新社区</v>
      </c>
      <c r="E687" s="3" t="str">
        <f t="shared" si="209"/>
        <v>140</v>
      </c>
      <c r="F687" s="3" t="str">
        <f t="shared" si="222"/>
        <v>100</v>
      </c>
      <c r="G687" s="3" t="str">
        <f t="shared" si="223"/>
        <v>二级</v>
      </c>
    </row>
    <row r="688" customHeight="1" spans="1:7">
      <c r="A688" s="3" t="str">
        <f>"686"</f>
        <v>686</v>
      </c>
      <c r="B688" s="3" t="s">
        <v>80</v>
      </c>
      <c r="C688" s="3" t="str">
        <f t="shared" si="221"/>
        <v>裕南街街道</v>
      </c>
      <c r="D688" s="3" t="str">
        <f>"仰天湖社区"</f>
        <v>仰天湖社区</v>
      </c>
      <c r="E688" s="3" t="str">
        <f t="shared" si="209"/>
        <v>140</v>
      </c>
      <c r="F688" s="3" t="str">
        <f t="shared" si="222"/>
        <v>100</v>
      </c>
      <c r="G688" s="3" t="str">
        <f>"一级"</f>
        <v>一级</v>
      </c>
    </row>
    <row r="689" customHeight="1" spans="1:7">
      <c r="A689" s="3" t="str">
        <f>"687"</f>
        <v>687</v>
      </c>
      <c r="B689" s="3" t="s">
        <v>571</v>
      </c>
      <c r="C689" s="3" t="str">
        <f>"赤岭路街道"</f>
        <v>赤岭路街道</v>
      </c>
      <c r="D689" s="3" t="str">
        <f>"新丰社区"</f>
        <v>新丰社区</v>
      </c>
      <c r="E689" s="3" t="str">
        <f t="shared" si="209"/>
        <v>140</v>
      </c>
      <c r="F689" s="3" t="str">
        <f t="shared" si="222"/>
        <v>100</v>
      </c>
      <c r="G689" s="3" t="str">
        <f t="shared" si="223"/>
        <v>二级</v>
      </c>
    </row>
    <row r="690" customHeight="1" spans="1:7">
      <c r="A690" s="3" t="str">
        <f>"688"</f>
        <v>688</v>
      </c>
      <c r="B690" s="3" t="s">
        <v>572</v>
      </c>
      <c r="C690" s="3" t="str">
        <f t="shared" si="221"/>
        <v>裕南街街道</v>
      </c>
      <c r="D690" s="3" t="str">
        <f>"长坡社区"</f>
        <v>长坡社区</v>
      </c>
      <c r="E690" s="3" t="str">
        <f t="shared" si="209"/>
        <v>140</v>
      </c>
      <c r="F690" s="3" t="str">
        <f t="shared" si="222"/>
        <v>100</v>
      </c>
      <c r="G690" s="3" t="str">
        <f t="shared" si="223"/>
        <v>二级</v>
      </c>
    </row>
    <row r="691" customHeight="1" spans="1:7">
      <c r="A691" s="3" t="str">
        <f>"689"</f>
        <v>689</v>
      </c>
      <c r="B691" s="3" t="s">
        <v>573</v>
      </c>
      <c r="C691" s="3" t="str">
        <f t="shared" si="221"/>
        <v>裕南街街道</v>
      </c>
      <c r="D691" s="3" t="str">
        <f>"向东南社区"</f>
        <v>向东南社区</v>
      </c>
      <c r="E691" s="3" t="str">
        <f t="shared" si="209"/>
        <v>140</v>
      </c>
      <c r="F691" s="3" t="str">
        <f t="shared" si="222"/>
        <v>100</v>
      </c>
      <c r="G691" s="3" t="str">
        <f t="shared" si="223"/>
        <v>二级</v>
      </c>
    </row>
    <row r="692" customHeight="1" spans="1:7">
      <c r="A692" s="3" t="str">
        <f>"690"</f>
        <v>690</v>
      </c>
      <c r="B692" s="3" t="s">
        <v>574</v>
      </c>
      <c r="C692" s="3" t="str">
        <f t="shared" ref="C692:C695" si="224">"暮云街道"</f>
        <v>暮云街道</v>
      </c>
      <c r="D692" s="3" t="str">
        <f>"许兴村"</f>
        <v>许兴村</v>
      </c>
      <c r="E692" s="3" t="str">
        <f t="shared" si="209"/>
        <v>140</v>
      </c>
      <c r="F692" s="3" t="str">
        <f t="shared" si="222"/>
        <v>100</v>
      </c>
      <c r="G692" s="3" t="str">
        <f t="shared" si="223"/>
        <v>二级</v>
      </c>
    </row>
    <row r="693" customHeight="1" spans="1:7">
      <c r="A693" s="3" t="str">
        <f>"691"</f>
        <v>691</v>
      </c>
      <c r="B693" s="3" t="s">
        <v>575</v>
      </c>
      <c r="C693" s="3" t="str">
        <f>"南托街道"</f>
        <v>南托街道</v>
      </c>
      <c r="D693" s="3" t="str">
        <f>"融城社区"</f>
        <v>融城社区</v>
      </c>
      <c r="E693" s="3" t="str">
        <f t="shared" si="209"/>
        <v>140</v>
      </c>
      <c r="F693" s="3" t="str">
        <f t="shared" si="222"/>
        <v>100</v>
      </c>
      <c r="G693" s="3" t="str">
        <f t="shared" ref="G693:G698" si="225">"一级"</f>
        <v>一级</v>
      </c>
    </row>
    <row r="694" customHeight="1" spans="1:7">
      <c r="A694" s="3" t="str">
        <f>"692"</f>
        <v>692</v>
      </c>
      <c r="B694" s="3" t="s">
        <v>576</v>
      </c>
      <c r="C694" s="3" t="str">
        <f t="shared" si="224"/>
        <v>暮云街道</v>
      </c>
      <c r="D694" s="3" t="str">
        <f>"许兴村"</f>
        <v>许兴村</v>
      </c>
      <c r="E694" s="3" t="str">
        <f t="shared" si="209"/>
        <v>140</v>
      </c>
      <c r="F694" s="3" t="str">
        <f t="shared" si="222"/>
        <v>100</v>
      </c>
      <c r="G694" s="3" t="str">
        <f t="shared" si="225"/>
        <v>一级</v>
      </c>
    </row>
    <row r="695" customHeight="1" spans="1:7">
      <c r="A695" s="3" t="str">
        <f>"693"</f>
        <v>693</v>
      </c>
      <c r="B695" s="3" t="s">
        <v>577</v>
      </c>
      <c r="C695" s="3" t="str">
        <f t="shared" si="224"/>
        <v>暮云街道</v>
      </c>
      <c r="D695" s="3" t="str">
        <f>"莲华村"</f>
        <v>莲华村</v>
      </c>
      <c r="E695" s="3" t="str">
        <f t="shared" si="209"/>
        <v>140</v>
      </c>
      <c r="F695" s="3" t="str">
        <f t="shared" si="222"/>
        <v>100</v>
      </c>
      <c r="G695" s="3" t="str">
        <f t="shared" ref="G695:G697" si="226">"二级"</f>
        <v>二级</v>
      </c>
    </row>
    <row r="696" customHeight="1" spans="1:7">
      <c r="A696" s="3" t="str">
        <f>"694"</f>
        <v>694</v>
      </c>
      <c r="B696" s="3" t="s">
        <v>578</v>
      </c>
      <c r="C696" s="3" t="str">
        <f>"城南路街道"</f>
        <v>城南路街道</v>
      </c>
      <c r="D696" s="3" t="str">
        <f>"熙台岭社区"</f>
        <v>熙台岭社区</v>
      </c>
      <c r="E696" s="3" t="str">
        <f t="shared" si="209"/>
        <v>140</v>
      </c>
      <c r="F696" s="3" t="str">
        <f t="shared" si="222"/>
        <v>100</v>
      </c>
      <c r="G696" s="3" t="str">
        <f t="shared" si="226"/>
        <v>二级</v>
      </c>
    </row>
    <row r="697" customHeight="1" spans="1:7">
      <c r="A697" s="3" t="str">
        <f>"695"</f>
        <v>695</v>
      </c>
      <c r="B697" s="3" t="s">
        <v>579</v>
      </c>
      <c r="C697" s="3" t="str">
        <f>"坡子街街道"</f>
        <v>坡子街街道</v>
      </c>
      <c r="D697" s="3" t="str">
        <f>"青山祠社区"</f>
        <v>青山祠社区</v>
      </c>
      <c r="E697" s="3" t="str">
        <f t="shared" si="209"/>
        <v>140</v>
      </c>
      <c r="F697" s="3" t="str">
        <f t="shared" si="222"/>
        <v>100</v>
      </c>
      <c r="G697" s="3" t="str">
        <f t="shared" si="226"/>
        <v>二级</v>
      </c>
    </row>
    <row r="698" customHeight="1" spans="1:7">
      <c r="A698" s="3" t="str">
        <f>"696"</f>
        <v>696</v>
      </c>
      <c r="B698" s="3" t="s">
        <v>580</v>
      </c>
      <c r="C698" s="3" t="str">
        <f>"新开铺街道"</f>
        <v>新开铺街道</v>
      </c>
      <c r="D698" s="3" t="str">
        <f>"桥头社区"</f>
        <v>桥头社区</v>
      </c>
      <c r="E698" s="3" t="str">
        <f t="shared" si="209"/>
        <v>140</v>
      </c>
      <c r="F698" s="3" t="str">
        <f t="shared" si="222"/>
        <v>100</v>
      </c>
      <c r="G698" s="3" t="str">
        <f t="shared" si="225"/>
        <v>一级</v>
      </c>
    </row>
    <row r="699" customHeight="1" spans="1:7">
      <c r="A699" s="3" t="str">
        <f>"697"</f>
        <v>697</v>
      </c>
      <c r="B699" s="3" t="s">
        <v>581</v>
      </c>
      <c r="C699" s="3" t="str">
        <f>"新开铺街道"</f>
        <v>新开铺街道</v>
      </c>
      <c r="D699" s="3" t="str">
        <f>"豹子岭社区"</f>
        <v>豹子岭社区</v>
      </c>
      <c r="E699" s="3" t="str">
        <f t="shared" si="209"/>
        <v>140</v>
      </c>
      <c r="F699" s="3" t="str">
        <f t="shared" si="222"/>
        <v>100</v>
      </c>
      <c r="G699" s="3" t="str">
        <f t="shared" ref="G699:G706" si="227">"二级"</f>
        <v>二级</v>
      </c>
    </row>
    <row r="700" customHeight="1" spans="1:7">
      <c r="A700" s="3" t="str">
        <f>"698"</f>
        <v>698</v>
      </c>
      <c r="B700" s="3" t="s">
        <v>212</v>
      </c>
      <c r="C700" s="3" t="str">
        <f t="shared" ref="C700:C704" si="228">"大托铺街道"</f>
        <v>大托铺街道</v>
      </c>
      <c r="D700" s="3" t="str">
        <f>"桂井村委会"</f>
        <v>桂井村委会</v>
      </c>
      <c r="E700" s="3" t="str">
        <f t="shared" si="209"/>
        <v>140</v>
      </c>
      <c r="F700" s="3" t="str">
        <f t="shared" si="222"/>
        <v>100</v>
      </c>
      <c r="G700" s="3" t="str">
        <f t="shared" si="227"/>
        <v>二级</v>
      </c>
    </row>
    <row r="701" customHeight="1" spans="1:7">
      <c r="A701" s="3" t="str">
        <f>"699"</f>
        <v>699</v>
      </c>
      <c r="B701" s="3" t="s">
        <v>582</v>
      </c>
      <c r="C701" s="3" t="str">
        <f>"桂花坪街道"</f>
        <v>桂花坪街道</v>
      </c>
      <c r="D701" s="3" t="str">
        <f>"金桂社区"</f>
        <v>金桂社区</v>
      </c>
      <c r="E701" s="3" t="str">
        <f t="shared" si="209"/>
        <v>140</v>
      </c>
      <c r="F701" s="3" t="str">
        <f t="shared" si="222"/>
        <v>100</v>
      </c>
      <c r="G701" s="3" t="str">
        <f t="shared" si="227"/>
        <v>二级</v>
      </c>
    </row>
    <row r="702" customHeight="1" spans="1:7">
      <c r="A702" s="3" t="str">
        <f>"700"</f>
        <v>700</v>
      </c>
      <c r="B702" s="3" t="s">
        <v>146</v>
      </c>
      <c r="C702" s="3" t="str">
        <f t="shared" si="228"/>
        <v>大托铺街道</v>
      </c>
      <c r="D702" s="3" t="str">
        <f>"桂井村委会"</f>
        <v>桂井村委会</v>
      </c>
      <c r="E702" s="3" t="str">
        <f t="shared" si="209"/>
        <v>140</v>
      </c>
      <c r="F702" s="3" t="str">
        <f t="shared" si="222"/>
        <v>100</v>
      </c>
      <c r="G702" s="3" t="str">
        <f t="shared" si="227"/>
        <v>二级</v>
      </c>
    </row>
    <row r="703" customHeight="1" spans="1:7">
      <c r="A703" s="3" t="str">
        <f>"701"</f>
        <v>701</v>
      </c>
      <c r="B703" s="3" t="s">
        <v>583</v>
      </c>
      <c r="C703" s="3" t="str">
        <f>"黑石铺街道"</f>
        <v>黑石铺街道</v>
      </c>
      <c r="D703" s="3" t="str">
        <f>"一力社区"</f>
        <v>一力社区</v>
      </c>
      <c r="E703" s="3" t="str">
        <f t="shared" si="209"/>
        <v>140</v>
      </c>
      <c r="F703" s="3" t="str">
        <f t="shared" si="222"/>
        <v>100</v>
      </c>
      <c r="G703" s="3" t="str">
        <f t="shared" si="227"/>
        <v>二级</v>
      </c>
    </row>
    <row r="704" customHeight="1" spans="1:7">
      <c r="A704" s="3" t="str">
        <f>"702"</f>
        <v>702</v>
      </c>
      <c r="B704" s="3" t="s">
        <v>584</v>
      </c>
      <c r="C704" s="3" t="str">
        <f t="shared" si="228"/>
        <v>大托铺街道</v>
      </c>
      <c r="D704" s="3" t="str">
        <f>"大托村委会"</f>
        <v>大托村委会</v>
      </c>
      <c r="E704" s="3" t="str">
        <f t="shared" si="209"/>
        <v>140</v>
      </c>
      <c r="F704" s="3" t="str">
        <f t="shared" si="222"/>
        <v>100</v>
      </c>
      <c r="G704" s="3" t="str">
        <f t="shared" si="227"/>
        <v>二级</v>
      </c>
    </row>
    <row r="705" customHeight="1" spans="1:7">
      <c r="A705" s="3" t="str">
        <f>"703"</f>
        <v>703</v>
      </c>
      <c r="B705" s="3" t="s">
        <v>585</v>
      </c>
      <c r="C705" s="3" t="str">
        <f>"桂花坪街道"</f>
        <v>桂花坪街道</v>
      </c>
      <c r="D705" s="3" t="str">
        <f>"新园社区"</f>
        <v>新园社区</v>
      </c>
      <c r="E705" s="3" t="str">
        <f t="shared" si="209"/>
        <v>140</v>
      </c>
      <c r="F705" s="3" t="str">
        <f t="shared" si="222"/>
        <v>100</v>
      </c>
      <c r="G705" s="3" t="str">
        <f t="shared" si="227"/>
        <v>二级</v>
      </c>
    </row>
    <row r="706" customHeight="1" spans="1:7">
      <c r="A706" s="3" t="str">
        <f>"704"</f>
        <v>704</v>
      </c>
      <c r="B706" s="3" t="s">
        <v>586</v>
      </c>
      <c r="C706" s="3" t="str">
        <f>"大托铺街道"</f>
        <v>大托铺街道</v>
      </c>
      <c r="D706" s="3" t="str">
        <f>"桂井村委会"</f>
        <v>桂井村委会</v>
      </c>
      <c r="E706" s="3" t="str">
        <f t="shared" si="209"/>
        <v>140</v>
      </c>
      <c r="F706" s="3" t="str">
        <f t="shared" si="222"/>
        <v>100</v>
      </c>
      <c r="G706" s="3" t="str">
        <f t="shared" si="227"/>
        <v>二级</v>
      </c>
    </row>
    <row r="707" customHeight="1" spans="1:7">
      <c r="A707" s="3" t="str">
        <f>"705"</f>
        <v>705</v>
      </c>
      <c r="B707" s="3" t="s">
        <v>587</v>
      </c>
      <c r="C707" s="3" t="str">
        <f>"坡子街街道"</f>
        <v>坡子街街道</v>
      </c>
      <c r="D707" s="3" t="str">
        <f>"碧湘社区"</f>
        <v>碧湘社区</v>
      </c>
      <c r="E707" s="3" t="str">
        <f t="shared" ref="E707:E770" si="229">"140"</f>
        <v>140</v>
      </c>
      <c r="F707" s="3" t="str">
        <f t="shared" si="222"/>
        <v>100</v>
      </c>
      <c r="G707" s="3" t="str">
        <f t="shared" ref="G707:G711" si="230">"一级"</f>
        <v>一级</v>
      </c>
    </row>
    <row r="708" customHeight="1" spans="1:7">
      <c r="A708" s="3" t="str">
        <f>"706"</f>
        <v>706</v>
      </c>
      <c r="B708" s="3" t="s">
        <v>588</v>
      </c>
      <c r="C708" s="3" t="str">
        <f>"赤岭路街道"</f>
        <v>赤岭路街道</v>
      </c>
      <c r="D708" s="3" t="str">
        <f>"广厦新村社区"</f>
        <v>广厦新村社区</v>
      </c>
      <c r="E708" s="3" t="str">
        <f t="shared" si="229"/>
        <v>140</v>
      </c>
      <c r="F708" s="3" t="str">
        <f t="shared" si="222"/>
        <v>100</v>
      </c>
      <c r="G708" s="3" t="str">
        <f t="shared" si="230"/>
        <v>一级</v>
      </c>
    </row>
    <row r="709" customHeight="1" spans="1:7">
      <c r="A709" s="3" t="str">
        <f>"707"</f>
        <v>707</v>
      </c>
      <c r="B709" s="3" t="s">
        <v>589</v>
      </c>
      <c r="C709" s="3" t="str">
        <f>"裕南街街道"</f>
        <v>裕南街街道</v>
      </c>
      <c r="D709" s="3" t="str">
        <f>"石子冲社区"</f>
        <v>石子冲社区</v>
      </c>
      <c r="E709" s="3" t="str">
        <f t="shared" si="229"/>
        <v>140</v>
      </c>
      <c r="F709" s="3" t="str">
        <f t="shared" si="222"/>
        <v>100</v>
      </c>
      <c r="G709" s="3" t="str">
        <f t="shared" ref="G709:G713" si="231">"二级"</f>
        <v>二级</v>
      </c>
    </row>
    <row r="710" customHeight="1" spans="1:7">
      <c r="A710" s="3" t="str">
        <f>"708"</f>
        <v>708</v>
      </c>
      <c r="B710" s="3" t="s">
        <v>148</v>
      </c>
      <c r="C710" s="3" t="str">
        <f>"城南路街道"</f>
        <v>城南路街道</v>
      </c>
      <c r="D710" s="3" t="str">
        <f>"古道巷社区"</f>
        <v>古道巷社区</v>
      </c>
      <c r="E710" s="3" t="str">
        <f t="shared" si="229"/>
        <v>140</v>
      </c>
      <c r="F710" s="3" t="str">
        <f t="shared" si="222"/>
        <v>100</v>
      </c>
      <c r="G710" s="3" t="str">
        <f t="shared" si="231"/>
        <v>二级</v>
      </c>
    </row>
    <row r="711" customHeight="1" spans="1:7">
      <c r="A711" s="3" t="str">
        <f>"709"</f>
        <v>709</v>
      </c>
      <c r="B711" s="3" t="s">
        <v>590</v>
      </c>
      <c r="C711" s="3" t="str">
        <f t="shared" ref="C711:C716" si="232">"坡子街街道"</f>
        <v>坡子街街道</v>
      </c>
      <c r="D711" s="3" t="str">
        <f>"碧湘社区"</f>
        <v>碧湘社区</v>
      </c>
      <c r="E711" s="3" t="str">
        <f t="shared" si="229"/>
        <v>140</v>
      </c>
      <c r="F711" s="3" t="str">
        <f t="shared" si="222"/>
        <v>100</v>
      </c>
      <c r="G711" s="3" t="str">
        <f t="shared" si="230"/>
        <v>一级</v>
      </c>
    </row>
    <row r="712" customHeight="1" spans="1:7">
      <c r="A712" s="3" t="str">
        <f>"710"</f>
        <v>710</v>
      </c>
      <c r="B712" s="3" t="s">
        <v>591</v>
      </c>
      <c r="C712" s="3" t="str">
        <f>"南托街道"</f>
        <v>南托街道</v>
      </c>
      <c r="D712" s="3" t="str">
        <f>"牛角塘社区"</f>
        <v>牛角塘社区</v>
      </c>
      <c r="E712" s="3" t="str">
        <f t="shared" si="229"/>
        <v>140</v>
      </c>
      <c r="F712" s="3" t="str">
        <f t="shared" si="222"/>
        <v>100</v>
      </c>
      <c r="G712" s="3" t="str">
        <f t="shared" si="231"/>
        <v>二级</v>
      </c>
    </row>
    <row r="713" customHeight="1" spans="1:7">
      <c r="A713" s="3" t="str">
        <f>"711"</f>
        <v>711</v>
      </c>
      <c r="B713" s="3" t="s">
        <v>592</v>
      </c>
      <c r="C713" s="3" t="str">
        <f>"青园街道"</f>
        <v>青园街道</v>
      </c>
      <c r="D713" s="3" t="str">
        <f>"青园社区"</f>
        <v>青园社区</v>
      </c>
      <c r="E713" s="3" t="str">
        <f t="shared" si="229"/>
        <v>140</v>
      </c>
      <c r="F713" s="3" t="str">
        <f t="shared" si="222"/>
        <v>100</v>
      </c>
      <c r="G713" s="3" t="str">
        <f t="shared" si="231"/>
        <v>二级</v>
      </c>
    </row>
    <row r="714" customHeight="1" spans="1:7">
      <c r="A714" s="3" t="str">
        <f>"712"</f>
        <v>712</v>
      </c>
      <c r="B714" s="3" t="s">
        <v>593</v>
      </c>
      <c r="C714" s="3" t="str">
        <f t="shared" si="232"/>
        <v>坡子街街道</v>
      </c>
      <c r="D714" s="3" t="str">
        <f>"太平街社区"</f>
        <v>太平街社区</v>
      </c>
      <c r="E714" s="3" t="str">
        <f t="shared" si="229"/>
        <v>140</v>
      </c>
      <c r="F714" s="3" t="str">
        <f t="shared" si="222"/>
        <v>100</v>
      </c>
      <c r="G714" s="3" t="str">
        <f>"一级"</f>
        <v>一级</v>
      </c>
    </row>
    <row r="715" customHeight="1" spans="1:7">
      <c r="A715" s="3" t="str">
        <f>"713"</f>
        <v>713</v>
      </c>
      <c r="B715" s="3" t="s">
        <v>594</v>
      </c>
      <c r="C715" s="3" t="str">
        <f t="shared" si="232"/>
        <v>坡子街街道</v>
      </c>
      <c r="D715" s="3" t="str">
        <f>"文庙坪社区"</f>
        <v>文庙坪社区</v>
      </c>
      <c r="E715" s="3" t="str">
        <f t="shared" si="229"/>
        <v>140</v>
      </c>
      <c r="F715" s="3" t="str">
        <f t="shared" si="222"/>
        <v>100</v>
      </c>
      <c r="G715" s="3" t="str">
        <f t="shared" ref="G715:G717" si="233">"二级"</f>
        <v>二级</v>
      </c>
    </row>
    <row r="716" customHeight="1" spans="1:7">
      <c r="A716" s="3" t="str">
        <f>"714"</f>
        <v>714</v>
      </c>
      <c r="B716" s="3" t="s">
        <v>595</v>
      </c>
      <c r="C716" s="3" t="str">
        <f t="shared" si="232"/>
        <v>坡子街街道</v>
      </c>
      <c r="D716" s="3" t="str">
        <f>"文庙坪社区"</f>
        <v>文庙坪社区</v>
      </c>
      <c r="E716" s="3" t="str">
        <f t="shared" si="229"/>
        <v>140</v>
      </c>
      <c r="F716" s="3" t="str">
        <f t="shared" si="222"/>
        <v>100</v>
      </c>
      <c r="G716" s="3" t="str">
        <f t="shared" si="233"/>
        <v>二级</v>
      </c>
    </row>
    <row r="717" customHeight="1" spans="1:7">
      <c r="A717" s="3" t="str">
        <f>"715"</f>
        <v>715</v>
      </c>
      <c r="B717" s="3" t="s">
        <v>561</v>
      </c>
      <c r="C717" s="3" t="str">
        <f>"金盆岭街道"</f>
        <v>金盆岭街道</v>
      </c>
      <c r="D717" s="3" t="str">
        <f>"狮子山社区"</f>
        <v>狮子山社区</v>
      </c>
      <c r="E717" s="3" t="str">
        <f t="shared" si="229"/>
        <v>140</v>
      </c>
      <c r="F717" s="3" t="str">
        <f t="shared" si="222"/>
        <v>100</v>
      </c>
      <c r="G717" s="3" t="str">
        <f t="shared" si="233"/>
        <v>二级</v>
      </c>
    </row>
    <row r="718" customHeight="1" spans="1:7">
      <c r="A718" s="3" t="str">
        <f>"716"</f>
        <v>716</v>
      </c>
      <c r="B718" s="3" t="s">
        <v>125</v>
      </c>
      <c r="C718" s="3" t="str">
        <f>"桂花坪街道"</f>
        <v>桂花坪街道</v>
      </c>
      <c r="D718" s="3" t="str">
        <f>"丹桂社区"</f>
        <v>丹桂社区</v>
      </c>
      <c r="E718" s="3" t="str">
        <f t="shared" si="229"/>
        <v>140</v>
      </c>
      <c r="F718" s="3" t="str">
        <f t="shared" si="222"/>
        <v>100</v>
      </c>
      <c r="G718" s="3" t="str">
        <f>"一级"</f>
        <v>一级</v>
      </c>
    </row>
    <row r="719" customHeight="1" spans="1:7">
      <c r="A719" s="3" t="str">
        <f>"717"</f>
        <v>717</v>
      </c>
      <c r="B719" s="3" t="s">
        <v>596</v>
      </c>
      <c r="C719" s="3" t="str">
        <f>"青园街道"</f>
        <v>青园街道</v>
      </c>
      <c r="D719" s="3" t="str">
        <f>"青园社区"</f>
        <v>青园社区</v>
      </c>
      <c r="E719" s="3" t="str">
        <f t="shared" si="229"/>
        <v>140</v>
      </c>
      <c r="F719" s="3" t="str">
        <f t="shared" si="222"/>
        <v>100</v>
      </c>
      <c r="G719" s="3" t="str">
        <f t="shared" ref="G719:G722" si="234">"二级"</f>
        <v>二级</v>
      </c>
    </row>
    <row r="720" customHeight="1" spans="1:7">
      <c r="A720" s="3" t="str">
        <f>"718"</f>
        <v>718</v>
      </c>
      <c r="B720" s="3" t="s">
        <v>597</v>
      </c>
      <c r="C720" s="3" t="str">
        <f>"城南路街道"</f>
        <v>城南路街道</v>
      </c>
      <c r="D720" s="3" t="str">
        <f>"天心阁社区"</f>
        <v>天心阁社区</v>
      </c>
      <c r="E720" s="3" t="str">
        <f t="shared" si="229"/>
        <v>140</v>
      </c>
      <c r="F720" s="3" t="str">
        <f t="shared" si="222"/>
        <v>100</v>
      </c>
      <c r="G720" s="3" t="str">
        <f t="shared" si="234"/>
        <v>二级</v>
      </c>
    </row>
    <row r="721" customHeight="1" spans="1:7">
      <c r="A721" s="3" t="str">
        <f>"719"</f>
        <v>719</v>
      </c>
      <c r="B721" s="3" t="s">
        <v>80</v>
      </c>
      <c r="C721" s="3" t="str">
        <f>"坡子街街道"</f>
        <v>坡子街街道</v>
      </c>
      <c r="D721" s="3" t="str">
        <f>"西湖社区"</f>
        <v>西湖社区</v>
      </c>
      <c r="E721" s="3" t="str">
        <f t="shared" si="229"/>
        <v>140</v>
      </c>
      <c r="F721" s="3" t="str">
        <f t="shared" si="222"/>
        <v>100</v>
      </c>
      <c r="G721" s="3" t="str">
        <f t="shared" si="234"/>
        <v>二级</v>
      </c>
    </row>
    <row r="722" customHeight="1" spans="1:7">
      <c r="A722" s="3" t="str">
        <f>"720"</f>
        <v>720</v>
      </c>
      <c r="B722" s="3" t="s">
        <v>598</v>
      </c>
      <c r="C722" s="3" t="str">
        <f t="shared" ref="C722:C727" si="235">"新开铺街道"</f>
        <v>新开铺街道</v>
      </c>
      <c r="D722" s="3" t="str">
        <f>"豹子岭社区"</f>
        <v>豹子岭社区</v>
      </c>
      <c r="E722" s="3" t="str">
        <f t="shared" si="229"/>
        <v>140</v>
      </c>
      <c r="F722" s="3" t="str">
        <f t="shared" si="222"/>
        <v>100</v>
      </c>
      <c r="G722" s="3" t="str">
        <f t="shared" si="234"/>
        <v>二级</v>
      </c>
    </row>
    <row r="723" customHeight="1" spans="1:7">
      <c r="A723" s="3" t="str">
        <f>"721"</f>
        <v>721</v>
      </c>
      <c r="B723" s="3" t="s">
        <v>420</v>
      </c>
      <c r="C723" s="3" t="str">
        <f>"暮云街道"</f>
        <v>暮云街道</v>
      </c>
      <c r="D723" s="3" t="str">
        <f>"丽发社区"</f>
        <v>丽发社区</v>
      </c>
      <c r="E723" s="3" t="str">
        <f t="shared" si="229"/>
        <v>140</v>
      </c>
      <c r="F723" s="3" t="str">
        <f t="shared" si="222"/>
        <v>100</v>
      </c>
      <c r="G723" s="3" t="str">
        <f>"一级"</f>
        <v>一级</v>
      </c>
    </row>
    <row r="724" customHeight="1" spans="1:7">
      <c r="A724" s="3" t="str">
        <f>"722"</f>
        <v>722</v>
      </c>
      <c r="B724" s="3" t="s">
        <v>599</v>
      </c>
      <c r="C724" s="3" t="str">
        <f>"文源街道"</f>
        <v>文源街道</v>
      </c>
      <c r="D724" s="3" t="str">
        <f>"天鸿社区"</f>
        <v>天鸿社区</v>
      </c>
      <c r="E724" s="3" t="str">
        <f t="shared" si="229"/>
        <v>140</v>
      </c>
      <c r="F724" s="3" t="str">
        <f t="shared" si="222"/>
        <v>100</v>
      </c>
      <c r="G724" s="3" t="str">
        <f t="shared" ref="G724:G730" si="236">"二级"</f>
        <v>二级</v>
      </c>
    </row>
    <row r="725" customHeight="1" spans="1:7">
      <c r="A725" s="3" t="str">
        <f>"723"</f>
        <v>723</v>
      </c>
      <c r="B725" s="3" t="s">
        <v>600</v>
      </c>
      <c r="C725" s="3" t="str">
        <f>"南托街道"</f>
        <v>南托街道</v>
      </c>
      <c r="D725" s="3" t="str">
        <f>"牛角塘村"</f>
        <v>牛角塘村</v>
      </c>
      <c r="E725" s="3" t="str">
        <f t="shared" si="229"/>
        <v>140</v>
      </c>
      <c r="F725" s="3" t="str">
        <f t="shared" si="222"/>
        <v>100</v>
      </c>
      <c r="G725" s="3" t="str">
        <f t="shared" si="236"/>
        <v>二级</v>
      </c>
    </row>
    <row r="726" customHeight="1" spans="1:7">
      <c r="A726" s="3" t="str">
        <f>"724"</f>
        <v>724</v>
      </c>
      <c r="B726" s="3" t="s">
        <v>601</v>
      </c>
      <c r="C726" s="3" t="str">
        <f t="shared" si="235"/>
        <v>新开铺街道</v>
      </c>
      <c r="D726" s="3" t="str">
        <f>"石人村委会"</f>
        <v>石人村委会</v>
      </c>
      <c r="E726" s="3" t="str">
        <f t="shared" si="229"/>
        <v>140</v>
      </c>
      <c r="F726" s="3" t="str">
        <f t="shared" si="222"/>
        <v>100</v>
      </c>
      <c r="G726" s="3" t="str">
        <f>"一级"</f>
        <v>一级</v>
      </c>
    </row>
    <row r="727" customHeight="1" spans="1:7">
      <c r="A727" s="3" t="str">
        <f>"725"</f>
        <v>725</v>
      </c>
      <c r="B727" s="3" t="s">
        <v>602</v>
      </c>
      <c r="C727" s="3" t="str">
        <f t="shared" si="235"/>
        <v>新开铺街道</v>
      </c>
      <c r="D727" s="3" t="str">
        <f>"新天社区"</f>
        <v>新天社区</v>
      </c>
      <c r="E727" s="3" t="str">
        <f t="shared" si="229"/>
        <v>140</v>
      </c>
      <c r="F727" s="3" t="str">
        <f>"0"</f>
        <v>0</v>
      </c>
      <c r="G727" s="3" t="str">
        <f>"三级"</f>
        <v>三级</v>
      </c>
    </row>
    <row r="728" customHeight="1" spans="1:7">
      <c r="A728" s="3" t="str">
        <f>"726"</f>
        <v>726</v>
      </c>
      <c r="B728" s="3" t="s">
        <v>152</v>
      </c>
      <c r="C728" s="3" t="str">
        <f>"先锋街道"</f>
        <v>先锋街道</v>
      </c>
      <c r="D728" s="3" t="str">
        <f>"嘉和社区"</f>
        <v>嘉和社区</v>
      </c>
      <c r="E728" s="3" t="str">
        <f t="shared" si="229"/>
        <v>140</v>
      </c>
      <c r="F728" s="3" t="str">
        <f t="shared" ref="F728:F754" si="237">"100"</f>
        <v>100</v>
      </c>
      <c r="G728" s="3" t="str">
        <f t="shared" si="236"/>
        <v>二级</v>
      </c>
    </row>
    <row r="729" customHeight="1" spans="1:7">
      <c r="A729" s="3" t="str">
        <f>"727"</f>
        <v>727</v>
      </c>
      <c r="B729" s="3" t="s">
        <v>208</v>
      </c>
      <c r="C729" s="3" t="str">
        <f>"裕南街街道"</f>
        <v>裕南街街道</v>
      </c>
      <c r="D729" s="3" t="str">
        <f>"向东南社区"</f>
        <v>向东南社区</v>
      </c>
      <c r="E729" s="3" t="str">
        <f t="shared" si="229"/>
        <v>140</v>
      </c>
      <c r="F729" s="3" t="str">
        <f t="shared" si="237"/>
        <v>100</v>
      </c>
      <c r="G729" s="3" t="str">
        <f t="shared" si="236"/>
        <v>二级</v>
      </c>
    </row>
    <row r="730" customHeight="1" spans="1:7">
      <c r="A730" s="3" t="str">
        <f>"728"</f>
        <v>728</v>
      </c>
      <c r="B730" s="3" t="s">
        <v>135</v>
      </c>
      <c r="C730" s="3" t="str">
        <f>"赤岭路街道"</f>
        <v>赤岭路街道</v>
      </c>
      <c r="D730" s="3" t="str">
        <f>"南大桥社区"</f>
        <v>南大桥社区</v>
      </c>
      <c r="E730" s="3" t="str">
        <f t="shared" si="229"/>
        <v>140</v>
      </c>
      <c r="F730" s="3" t="str">
        <f t="shared" si="237"/>
        <v>100</v>
      </c>
      <c r="G730" s="3" t="str">
        <f t="shared" si="236"/>
        <v>二级</v>
      </c>
    </row>
    <row r="731" customHeight="1" spans="1:7">
      <c r="A731" s="3" t="str">
        <f>"729"</f>
        <v>729</v>
      </c>
      <c r="B731" s="3" t="s">
        <v>63</v>
      </c>
      <c r="C731" s="3" t="str">
        <f>"坡子街街道"</f>
        <v>坡子街街道</v>
      </c>
      <c r="D731" s="3" t="str">
        <f>"登仁桥社区"</f>
        <v>登仁桥社区</v>
      </c>
      <c r="E731" s="3" t="str">
        <f t="shared" si="229"/>
        <v>140</v>
      </c>
      <c r="F731" s="3" t="str">
        <f t="shared" si="237"/>
        <v>100</v>
      </c>
      <c r="G731" s="3" t="str">
        <f>"一级"</f>
        <v>一级</v>
      </c>
    </row>
    <row r="732" customHeight="1" spans="1:7">
      <c r="A732" s="3" t="str">
        <f>"730"</f>
        <v>730</v>
      </c>
      <c r="B732" s="3" t="s">
        <v>603</v>
      </c>
      <c r="C732" s="3" t="str">
        <f>"暮云街道"</f>
        <v>暮云街道</v>
      </c>
      <c r="D732" s="3" t="str">
        <f>"暮云新村"</f>
        <v>暮云新村</v>
      </c>
      <c r="E732" s="3" t="str">
        <f t="shared" si="229"/>
        <v>140</v>
      </c>
      <c r="F732" s="3" t="str">
        <f t="shared" si="237"/>
        <v>100</v>
      </c>
      <c r="G732" s="3" t="str">
        <f>"一级"</f>
        <v>一级</v>
      </c>
    </row>
    <row r="733" customHeight="1" spans="1:7">
      <c r="A733" s="3" t="str">
        <f>"731"</f>
        <v>731</v>
      </c>
      <c r="B733" s="3" t="s">
        <v>604</v>
      </c>
      <c r="C733" s="3" t="str">
        <f t="shared" ref="C733:C738" si="238">"坡子街街道"</f>
        <v>坡子街街道</v>
      </c>
      <c r="D733" s="3" t="str">
        <f>"创远社区"</f>
        <v>创远社区</v>
      </c>
      <c r="E733" s="3" t="str">
        <f t="shared" si="229"/>
        <v>140</v>
      </c>
      <c r="F733" s="3" t="str">
        <f t="shared" si="237"/>
        <v>100</v>
      </c>
      <c r="G733" s="3" t="str">
        <f t="shared" ref="G733:G736" si="239">"二级"</f>
        <v>二级</v>
      </c>
    </row>
    <row r="734" customHeight="1" spans="1:7">
      <c r="A734" s="3" t="str">
        <f>"732"</f>
        <v>732</v>
      </c>
      <c r="B734" s="3" t="s">
        <v>139</v>
      </c>
      <c r="C734" s="3" t="str">
        <f>"裕南街街道"</f>
        <v>裕南街街道</v>
      </c>
      <c r="D734" s="3" t="str">
        <f>"宝塔山社区"</f>
        <v>宝塔山社区</v>
      </c>
      <c r="E734" s="3" t="str">
        <f t="shared" si="229"/>
        <v>140</v>
      </c>
      <c r="F734" s="3" t="str">
        <f t="shared" si="237"/>
        <v>100</v>
      </c>
      <c r="G734" s="3" t="str">
        <f t="shared" si="239"/>
        <v>二级</v>
      </c>
    </row>
    <row r="735" customHeight="1" spans="1:7">
      <c r="A735" s="3" t="str">
        <f>"733"</f>
        <v>733</v>
      </c>
      <c r="B735" s="3" t="s">
        <v>605</v>
      </c>
      <c r="C735" s="3" t="str">
        <f>"裕南街街道"</f>
        <v>裕南街街道</v>
      </c>
      <c r="D735" s="3" t="str">
        <f>"石子冲社区"</f>
        <v>石子冲社区</v>
      </c>
      <c r="E735" s="3" t="str">
        <f t="shared" si="229"/>
        <v>140</v>
      </c>
      <c r="F735" s="3" t="str">
        <f t="shared" si="237"/>
        <v>100</v>
      </c>
      <c r="G735" s="3" t="str">
        <f t="shared" si="239"/>
        <v>二级</v>
      </c>
    </row>
    <row r="736" customHeight="1" spans="1:7">
      <c r="A736" s="3" t="str">
        <f>"734"</f>
        <v>734</v>
      </c>
      <c r="B736" s="3" t="s">
        <v>146</v>
      </c>
      <c r="C736" s="3" t="str">
        <f>"黑石铺街道"</f>
        <v>黑石铺街道</v>
      </c>
      <c r="D736" s="3" t="str">
        <f>"一力社区"</f>
        <v>一力社区</v>
      </c>
      <c r="E736" s="3" t="str">
        <f t="shared" si="229"/>
        <v>140</v>
      </c>
      <c r="F736" s="3" t="str">
        <f t="shared" si="237"/>
        <v>100</v>
      </c>
      <c r="G736" s="3" t="str">
        <f t="shared" si="239"/>
        <v>二级</v>
      </c>
    </row>
    <row r="737" customHeight="1" spans="1:7">
      <c r="A737" s="3" t="str">
        <f>"735"</f>
        <v>735</v>
      </c>
      <c r="B737" s="3" t="s">
        <v>132</v>
      </c>
      <c r="C737" s="3" t="str">
        <f t="shared" si="238"/>
        <v>坡子街街道</v>
      </c>
      <c r="D737" s="3" t="str">
        <f>"太平街社区"</f>
        <v>太平街社区</v>
      </c>
      <c r="E737" s="3" t="str">
        <f t="shared" si="229"/>
        <v>140</v>
      </c>
      <c r="F737" s="3" t="str">
        <f t="shared" si="237"/>
        <v>100</v>
      </c>
      <c r="G737" s="3" t="str">
        <f t="shared" ref="G737:G741" si="240">"一级"</f>
        <v>一级</v>
      </c>
    </row>
    <row r="738" customHeight="1" spans="1:7">
      <c r="A738" s="3" t="str">
        <f>"736"</f>
        <v>736</v>
      </c>
      <c r="B738" s="3" t="s">
        <v>32</v>
      </c>
      <c r="C738" s="3" t="str">
        <f t="shared" si="238"/>
        <v>坡子街街道</v>
      </c>
      <c r="D738" s="3" t="str">
        <f>"楚湘社区"</f>
        <v>楚湘社区</v>
      </c>
      <c r="E738" s="3" t="str">
        <f t="shared" si="229"/>
        <v>140</v>
      </c>
      <c r="F738" s="3" t="str">
        <f t="shared" si="237"/>
        <v>100</v>
      </c>
      <c r="G738" s="3" t="str">
        <f t="shared" ref="G738:G748" si="241">"二级"</f>
        <v>二级</v>
      </c>
    </row>
    <row r="739" customHeight="1" spans="1:7">
      <c r="A739" s="3" t="str">
        <f>"737"</f>
        <v>737</v>
      </c>
      <c r="B739" s="3" t="s">
        <v>606</v>
      </c>
      <c r="C739" s="3" t="str">
        <f>"城南路街道"</f>
        <v>城南路街道</v>
      </c>
      <c r="D739" s="3" t="str">
        <f>"吴家坪社区"</f>
        <v>吴家坪社区</v>
      </c>
      <c r="E739" s="3" t="str">
        <f t="shared" si="229"/>
        <v>140</v>
      </c>
      <c r="F739" s="3" t="str">
        <f t="shared" si="237"/>
        <v>100</v>
      </c>
      <c r="G739" s="3" t="str">
        <f t="shared" si="241"/>
        <v>二级</v>
      </c>
    </row>
    <row r="740" customHeight="1" spans="1:7">
      <c r="A740" s="3" t="str">
        <f>"738"</f>
        <v>738</v>
      </c>
      <c r="B740" s="3" t="s">
        <v>125</v>
      </c>
      <c r="C740" s="3" t="str">
        <f>"坡子街街道"</f>
        <v>坡子街街道</v>
      </c>
      <c r="D740" s="3" t="str">
        <f>"登仁桥社区"</f>
        <v>登仁桥社区</v>
      </c>
      <c r="E740" s="3" t="str">
        <f t="shared" si="229"/>
        <v>140</v>
      </c>
      <c r="F740" s="3" t="str">
        <f t="shared" si="237"/>
        <v>100</v>
      </c>
      <c r="G740" s="3" t="str">
        <f t="shared" si="240"/>
        <v>一级</v>
      </c>
    </row>
    <row r="741" customHeight="1" spans="1:7">
      <c r="A741" s="3" t="str">
        <f>"739"</f>
        <v>739</v>
      </c>
      <c r="B741" s="3" t="s">
        <v>607</v>
      </c>
      <c r="C741" s="3" t="str">
        <f>"赤岭路街道"</f>
        <v>赤岭路街道</v>
      </c>
      <c r="D741" s="3" t="str">
        <f>"广厦新村社区"</f>
        <v>广厦新村社区</v>
      </c>
      <c r="E741" s="3" t="str">
        <f t="shared" si="229"/>
        <v>140</v>
      </c>
      <c r="F741" s="3" t="str">
        <f t="shared" si="237"/>
        <v>100</v>
      </c>
      <c r="G741" s="3" t="str">
        <f t="shared" si="240"/>
        <v>一级</v>
      </c>
    </row>
    <row r="742" customHeight="1" spans="1:7">
      <c r="A742" s="3" t="str">
        <f>"740"</f>
        <v>740</v>
      </c>
      <c r="B742" s="3" t="s">
        <v>32</v>
      </c>
      <c r="C742" s="3" t="str">
        <f>"青园街道"</f>
        <v>青园街道</v>
      </c>
      <c r="D742" s="3" t="str">
        <f>"青园社区"</f>
        <v>青园社区</v>
      </c>
      <c r="E742" s="3" t="str">
        <f t="shared" si="229"/>
        <v>140</v>
      </c>
      <c r="F742" s="3" t="str">
        <f t="shared" si="237"/>
        <v>100</v>
      </c>
      <c r="G742" s="3" t="str">
        <f t="shared" si="241"/>
        <v>二级</v>
      </c>
    </row>
    <row r="743" customHeight="1" spans="1:7">
      <c r="A743" s="3" t="str">
        <f>"741"</f>
        <v>741</v>
      </c>
      <c r="B743" s="3" t="s">
        <v>249</v>
      </c>
      <c r="C743" s="3" t="str">
        <f>"大托铺街道"</f>
        <v>大托铺街道</v>
      </c>
      <c r="D743" s="3" t="str">
        <f>"桂井村委会"</f>
        <v>桂井村委会</v>
      </c>
      <c r="E743" s="3" t="str">
        <f t="shared" si="229"/>
        <v>140</v>
      </c>
      <c r="F743" s="3" t="str">
        <f t="shared" si="237"/>
        <v>100</v>
      </c>
      <c r="G743" s="3" t="str">
        <f t="shared" si="241"/>
        <v>二级</v>
      </c>
    </row>
    <row r="744" customHeight="1" spans="1:7">
      <c r="A744" s="3" t="str">
        <f>"742"</f>
        <v>742</v>
      </c>
      <c r="B744" s="3" t="s">
        <v>608</v>
      </c>
      <c r="C744" s="3" t="str">
        <f>"新开铺街道"</f>
        <v>新开铺街道</v>
      </c>
      <c r="D744" s="3" t="str">
        <f>"桥头社区"</f>
        <v>桥头社区</v>
      </c>
      <c r="E744" s="3" t="str">
        <f t="shared" si="229"/>
        <v>140</v>
      </c>
      <c r="F744" s="3" t="str">
        <f t="shared" si="237"/>
        <v>100</v>
      </c>
      <c r="G744" s="3" t="str">
        <f t="shared" si="241"/>
        <v>二级</v>
      </c>
    </row>
    <row r="745" customHeight="1" spans="1:7">
      <c r="A745" s="3" t="str">
        <f>"743"</f>
        <v>743</v>
      </c>
      <c r="B745" s="3" t="s">
        <v>609</v>
      </c>
      <c r="C745" s="3" t="str">
        <f>"裕南街街道"</f>
        <v>裕南街街道</v>
      </c>
      <c r="D745" s="3" t="str">
        <f>"碧沙湖社区"</f>
        <v>碧沙湖社区</v>
      </c>
      <c r="E745" s="3" t="str">
        <f t="shared" si="229"/>
        <v>140</v>
      </c>
      <c r="F745" s="3" t="str">
        <f t="shared" si="237"/>
        <v>100</v>
      </c>
      <c r="G745" s="3" t="str">
        <f t="shared" si="241"/>
        <v>二级</v>
      </c>
    </row>
    <row r="746" customHeight="1" spans="1:7">
      <c r="A746" s="3" t="str">
        <f>"744"</f>
        <v>744</v>
      </c>
      <c r="B746" s="3" t="s">
        <v>32</v>
      </c>
      <c r="C746" s="3" t="str">
        <f>"城南路街道"</f>
        <v>城南路街道</v>
      </c>
      <c r="D746" s="3" t="str">
        <f>"工农桥社区"</f>
        <v>工农桥社区</v>
      </c>
      <c r="E746" s="3" t="str">
        <f t="shared" si="229"/>
        <v>140</v>
      </c>
      <c r="F746" s="3" t="str">
        <f t="shared" si="237"/>
        <v>100</v>
      </c>
      <c r="G746" s="3" t="str">
        <f t="shared" si="241"/>
        <v>二级</v>
      </c>
    </row>
    <row r="747" customHeight="1" spans="1:7">
      <c r="A747" s="3" t="str">
        <f>"745"</f>
        <v>745</v>
      </c>
      <c r="B747" s="3" t="s">
        <v>32</v>
      </c>
      <c r="C747" s="3" t="str">
        <f>"裕南街街道"</f>
        <v>裕南街街道</v>
      </c>
      <c r="D747" s="3" t="str">
        <f>"石子冲社区"</f>
        <v>石子冲社区</v>
      </c>
      <c r="E747" s="3" t="str">
        <f t="shared" si="229"/>
        <v>140</v>
      </c>
      <c r="F747" s="3" t="str">
        <f t="shared" si="237"/>
        <v>100</v>
      </c>
      <c r="G747" s="3" t="str">
        <f t="shared" si="241"/>
        <v>二级</v>
      </c>
    </row>
    <row r="748" customHeight="1" spans="1:7">
      <c r="A748" s="3" t="str">
        <f>"746"</f>
        <v>746</v>
      </c>
      <c r="B748" s="3" t="s">
        <v>561</v>
      </c>
      <c r="C748" s="3" t="str">
        <f>"赤岭路街道"</f>
        <v>赤岭路街道</v>
      </c>
      <c r="D748" s="3" t="str">
        <f>"新丰社区"</f>
        <v>新丰社区</v>
      </c>
      <c r="E748" s="3" t="str">
        <f t="shared" si="229"/>
        <v>140</v>
      </c>
      <c r="F748" s="3" t="str">
        <f t="shared" si="237"/>
        <v>100</v>
      </c>
      <c r="G748" s="3" t="str">
        <f t="shared" si="241"/>
        <v>二级</v>
      </c>
    </row>
    <row r="749" customHeight="1" spans="1:7">
      <c r="A749" s="3" t="str">
        <f>"747"</f>
        <v>747</v>
      </c>
      <c r="B749" s="3" t="s">
        <v>610</v>
      </c>
      <c r="C749" s="3" t="str">
        <f t="shared" ref="C749:C754" si="242">"坡子街街道"</f>
        <v>坡子街街道</v>
      </c>
      <c r="D749" s="3" t="str">
        <f>"坡子街社区"</f>
        <v>坡子街社区</v>
      </c>
      <c r="E749" s="3" t="str">
        <f t="shared" si="229"/>
        <v>140</v>
      </c>
      <c r="F749" s="3" t="str">
        <f t="shared" si="237"/>
        <v>100</v>
      </c>
      <c r="G749" s="3" t="str">
        <f>"一级"</f>
        <v>一级</v>
      </c>
    </row>
    <row r="750" customHeight="1" spans="1:7">
      <c r="A750" s="3" t="str">
        <f>"748"</f>
        <v>748</v>
      </c>
      <c r="B750" s="3" t="s">
        <v>611</v>
      </c>
      <c r="C750" s="3" t="str">
        <f>"暮云街道"</f>
        <v>暮云街道</v>
      </c>
      <c r="D750" s="3" t="str">
        <f>"许兴村"</f>
        <v>许兴村</v>
      </c>
      <c r="E750" s="3" t="str">
        <f t="shared" si="229"/>
        <v>140</v>
      </c>
      <c r="F750" s="3" t="str">
        <f t="shared" si="237"/>
        <v>100</v>
      </c>
      <c r="G750" s="3" t="str">
        <f t="shared" ref="G750:G754" si="243">"二级"</f>
        <v>二级</v>
      </c>
    </row>
    <row r="751" customHeight="1" spans="1:7">
      <c r="A751" s="3" t="str">
        <f>"749"</f>
        <v>749</v>
      </c>
      <c r="B751" s="3" t="s">
        <v>68</v>
      </c>
      <c r="C751" s="3" t="str">
        <f>"赤岭路街道"</f>
        <v>赤岭路街道</v>
      </c>
      <c r="D751" s="3" t="str">
        <f>"南大桥社区"</f>
        <v>南大桥社区</v>
      </c>
      <c r="E751" s="3" t="str">
        <f t="shared" si="229"/>
        <v>140</v>
      </c>
      <c r="F751" s="3" t="str">
        <f t="shared" si="237"/>
        <v>100</v>
      </c>
      <c r="G751" s="3" t="str">
        <f t="shared" si="243"/>
        <v>二级</v>
      </c>
    </row>
    <row r="752" customHeight="1" spans="1:7">
      <c r="A752" s="3" t="str">
        <f>"750"</f>
        <v>750</v>
      </c>
      <c r="B752" s="3" t="s">
        <v>612</v>
      </c>
      <c r="C752" s="3" t="str">
        <f t="shared" si="242"/>
        <v>坡子街街道</v>
      </c>
      <c r="D752" s="3" t="str">
        <f>"文庙坪社区"</f>
        <v>文庙坪社区</v>
      </c>
      <c r="E752" s="3" t="str">
        <f t="shared" si="229"/>
        <v>140</v>
      </c>
      <c r="F752" s="3" t="str">
        <f t="shared" si="237"/>
        <v>100</v>
      </c>
      <c r="G752" s="3" t="str">
        <f>"一级"</f>
        <v>一级</v>
      </c>
    </row>
    <row r="753" customHeight="1" spans="1:7">
      <c r="A753" s="3" t="str">
        <f>"751"</f>
        <v>751</v>
      </c>
      <c r="B753" s="3" t="s">
        <v>47</v>
      </c>
      <c r="C753" s="3" t="str">
        <f>"南托街道"</f>
        <v>南托街道</v>
      </c>
      <c r="D753" s="3" t="str">
        <f>"北塘社区"</f>
        <v>北塘社区</v>
      </c>
      <c r="E753" s="3" t="str">
        <f t="shared" si="229"/>
        <v>140</v>
      </c>
      <c r="F753" s="3" t="str">
        <f t="shared" si="237"/>
        <v>100</v>
      </c>
      <c r="G753" s="3" t="str">
        <f t="shared" si="243"/>
        <v>二级</v>
      </c>
    </row>
    <row r="754" customHeight="1" spans="1:7">
      <c r="A754" s="3" t="str">
        <f>"752"</f>
        <v>752</v>
      </c>
      <c r="B754" s="3" t="s">
        <v>613</v>
      </c>
      <c r="C754" s="3" t="str">
        <f t="shared" si="242"/>
        <v>坡子街街道</v>
      </c>
      <c r="D754" s="3" t="str">
        <f>"西湖社区"</f>
        <v>西湖社区</v>
      </c>
      <c r="E754" s="3" t="str">
        <f t="shared" si="229"/>
        <v>140</v>
      </c>
      <c r="F754" s="3" t="str">
        <f t="shared" si="237"/>
        <v>100</v>
      </c>
      <c r="G754" s="3" t="str">
        <f t="shared" si="243"/>
        <v>二级</v>
      </c>
    </row>
    <row r="755" customHeight="1" spans="1:7">
      <c r="A755" s="3" t="str">
        <f>"753"</f>
        <v>753</v>
      </c>
      <c r="B755" s="3" t="s">
        <v>146</v>
      </c>
      <c r="C755" s="3" t="str">
        <f>"黑石铺街道"</f>
        <v>黑石铺街道</v>
      </c>
      <c r="D755" s="3" t="str">
        <f>"披塘村委会"</f>
        <v>披塘村委会</v>
      </c>
      <c r="E755" s="3" t="str">
        <f t="shared" si="229"/>
        <v>140</v>
      </c>
      <c r="F755" s="3" t="str">
        <f>"0"</f>
        <v>0</v>
      </c>
      <c r="G755" s="3" t="str">
        <f>"三级"</f>
        <v>三级</v>
      </c>
    </row>
    <row r="756" customHeight="1" spans="1:7">
      <c r="A756" s="3" t="str">
        <f>"754"</f>
        <v>754</v>
      </c>
      <c r="B756" s="3" t="s">
        <v>614</v>
      </c>
      <c r="C756" s="3" t="str">
        <f t="shared" ref="C756:C761" si="244">"坡子街街道"</f>
        <v>坡子街街道</v>
      </c>
      <c r="D756" s="3" t="str">
        <f>"西湖社区"</f>
        <v>西湖社区</v>
      </c>
      <c r="E756" s="3" t="str">
        <f t="shared" si="229"/>
        <v>140</v>
      </c>
      <c r="F756" s="3" t="str">
        <f t="shared" ref="F756:F819" si="245">"100"</f>
        <v>100</v>
      </c>
      <c r="G756" s="3" t="str">
        <f t="shared" ref="G756:G761" si="246">"二级"</f>
        <v>二级</v>
      </c>
    </row>
    <row r="757" customHeight="1" spans="1:7">
      <c r="A757" s="3" t="str">
        <f>"755"</f>
        <v>755</v>
      </c>
      <c r="B757" s="3" t="s">
        <v>615</v>
      </c>
      <c r="C757" s="3" t="str">
        <f>"城南路街道"</f>
        <v>城南路街道</v>
      </c>
      <c r="D757" s="3" t="str">
        <f>"燕子岭社区"</f>
        <v>燕子岭社区</v>
      </c>
      <c r="E757" s="3" t="str">
        <f t="shared" si="229"/>
        <v>140</v>
      </c>
      <c r="F757" s="3" t="str">
        <f t="shared" si="245"/>
        <v>100</v>
      </c>
      <c r="G757" s="3" t="str">
        <f t="shared" si="246"/>
        <v>二级</v>
      </c>
    </row>
    <row r="758" customHeight="1" spans="1:7">
      <c r="A758" s="3" t="str">
        <f>"756"</f>
        <v>756</v>
      </c>
      <c r="B758" s="3" t="s">
        <v>146</v>
      </c>
      <c r="C758" s="3" t="str">
        <f>"青园街道"</f>
        <v>青园街道</v>
      </c>
      <c r="D758" s="3" t="str">
        <f>"井湾子社区"</f>
        <v>井湾子社区</v>
      </c>
      <c r="E758" s="3" t="str">
        <f t="shared" si="229"/>
        <v>140</v>
      </c>
      <c r="F758" s="3" t="str">
        <f t="shared" si="245"/>
        <v>100</v>
      </c>
      <c r="G758" s="3" t="str">
        <f t="shared" si="246"/>
        <v>二级</v>
      </c>
    </row>
    <row r="759" customHeight="1" spans="1:7">
      <c r="A759" s="3" t="str">
        <f>"757"</f>
        <v>757</v>
      </c>
      <c r="B759" s="3" t="s">
        <v>616</v>
      </c>
      <c r="C759" s="3" t="str">
        <f t="shared" si="244"/>
        <v>坡子街街道</v>
      </c>
      <c r="D759" s="3" t="str">
        <f>"登仁桥社区"</f>
        <v>登仁桥社区</v>
      </c>
      <c r="E759" s="3" t="str">
        <f t="shared" si="229"/>
        <v>140</v>
      </c>
      <c r="F759" s="3" t="str">
        <f t="shared" si="245"/>
        <v>100</v>
      </c>
      <c r="G759" s="3" t="str">
        <f t="shared" si="246"/>
        <v>二级</v>
      </c>
    </row>
    <row r="760" customHeight="1" spans="1:7">
      <c r="A760" s="3" t="str">
        <f>"758"</f>
        <v>758</v>
      </c>
      <c r="B760" s="3" t="s">
        <v>617</v>
      </c>
      <c r="C760" s="3" t="str">
        <f>"裕南街街道"</f>
        <v>裕南街街道</v>
      </c>
      <c r="D760" s="3" t="str">
        <f>"长坡社区"</f>
        <v>长坡社区</v>
      </c>
      <c r="E760" s="3" t="str">
        <f t="shared" si="229"/>
        <v>140</v>
      </c>
      <c r="F760" s="3" t="str">
        <f t="shared" si="245"/>
        <v>100</v>
      </c>
      <c r="G760" s="3" t="str">
        <f t="shared" si="246"/>
        <v>二级</v>
      </c>
    </row>
    <row r="761" customHeight="1" spans="1:7">
      <c r="A761" s="3" t="str">
        <f>"759"</f>
        <v>759</v>
      </c>
      <c r="B761" s="3" t="s">
        <v>618</v>
      </c>
      <c r="C761" s="3" t="str">
        <f t="shared" si="244"/>
        <v>坡子街街道</v>
      </c>
      <c r="D761" s="3" t="str">
        <f>"坡子街社区"</f>
        <v>坡子街社区</v>
      </c>
      <c r="E761" s="3" t="str">
        <f t="shared" si="229"/>
        <v>140</v>
      </c>
      <c r="F761" s="3" t="str">
        <f t="shared" si="245"/>
        <v>100</v>
      </c>
      <c r="G761" s="3" t="str">
        <f t="shared" si="246"/>
        <v>二级</v>
      </c>
    </row>
    <row r="762" customHeight="1" spans="1:7">
      <c r="A762" s="3" t="str">
        <f>"760"</f>
        <v>760</v>
      </c>
      <c r="B762" s="3" t="s">
        <v>256</v>
      </c>
      <c r="C762" s="3" t="str">
        <f>"新开铺街道"</f>
        <v>新开铺街道</v>
      </c>
      <c r="D762" s="3" t="str">
        <f>"桥头社区"</f>
        <v>桥头社区</v>
      </c>
      <c r="E762" s="3" t="str">
        <f t="shared" si="229"/>
        <v>140</v>
      </c>
      <c r="F762" s="3" t="str">
        <f t="shared" si="245"/>
        <v>100</v>
      </c>
      <c r="G762" s="3" t="str">
        <f t="shared" ref="G762:G764" si="247">"一级"</f>
        <v>一级</v>
      </c>
    </row>
    <row r="763" customHeight="1" spans="1:7">
      <c r="A763" s="3" t="str">
        <f>"761"</f>
        <v>761</v>
      </c>
      <c r="B763" s="3" t="s">
        <v>125</v>
      </c>
      <c r="C763" s="3" t="str">
        <f>"坡子街街道"</f>
        <v>坡子街街道</v>
      </c>
      <c r="D763" s="3" t="str">
        <f>"文庙坪社区"</f>
        <v>文庙坪社区</v>
      </c>
      <c r="E763" s="3" t="str">
        <f t="shared" si="229"/>
        <v>140</v>
      </c>
      <c r="F763" s="3" t="str">
        <f t="shared" si="245"/>
        <v>100</v>
      </c>
      <c r="G763" s="3" t="str">
        <f t="shared" si="247"/>
        <v>一级</v>
      </c>
    </row>
    <row r="764" customHeight="1" spans="1:7">
      <c r="A764" s="3" t="str">
        <f>"762"</f>
        <v>762</v>
      </c>
      <c r="B764" s="3" t="s">
        <v>619</v>
      </c>
      <c r="C764" s="3" t="str">
        <f t="shared" ref="C764:C767" si="248">"暮云街道"</f>
        <v>暮云街道</v>
      </c>
      <c r="D764" s="3" t="str">
        <f>"高云社区"</f>
        <v>高云社区</v>
      </c>
      <c r="E764" s="3" t="str">
        <f t="shared" si="229"/>
        <v>140</v>
      </c>
      <c r="F764" s="3" t="str">
        <f t="shared" si="245"/>
        <v>100</v>
      </c>
      <c r="G764" s="3" t="str">
        <f t="shared" si="247"/>
        <v>一级</v>
      </c>
    </row>
    <row r="765" customHeight="1" spans="1:7">
      <c r="A765" s="3" t="str">
        <f>"763"</f>
        <v>763</v>
      </c>
      <c r="B765" s="3" t="s">
        <v>427</v>
      </c>
      <c r="C765" s="3" t="str">
        <f t="shared" ref="C765:C770" si="249">"南托街道"</f>
        <v>南托街道</v>
      </c>
      <c r="D765" s="3" t="str">
        <f>"沿江村"</f>
        <v>沿江村</v>
      </c>
      <c r="E765" s="3" t="str">
        <f t="shared" si="229"/>
        <v>140</v>
      </c>
      <c r="F765" s="3" t="str">
        <f t="shared" si="245"/>
        <v>100</v>
      </c>
      <c r="G765" s="3" t="str">
        <f t="shared" ref="G765:G767" si="250">"二级"</f>
        <v>二级</v>
      </c>
    </row>
    <row r="766" customHeight="1" spans="1:7">
      <c r="A766" s="3" t="str">
        <f>"764"</f>
        <v>764</v>
      </c>
      <c r="B766" s="3" t="s">
        <v>620</v>
      </c>
      <c r="C766" s="3" t="str">
        <f t="shared" si="248"/>
        <v>暮云街道</v>
      </c>
      <c r="D766" s="3" t="str">
        <f>"暮云新村"</f>
        <v>暮云新村</v>
      </c>
      <c r="E766" s="3" t="str">
        <f t="shared" si="229"/>
        <v>140</v>
      </c>
      <c r="F766" s="3" t="str">
        <f t="shared" si="245"/>
        <v>100</v>
      </c>
      <c r="G766" s="3" t="str">
        <f t="shared" si="250"/>
        <v>二级</v>
      </c>
    </row>
    <row r="767" customHeight="1" spans="1:7">
      <c r="A767" s="3" t="str">
        <f>"765"</f>
        <v>765</v>
      </c>
      <c r="B767" s="3" t="s">
        <v>621</v>
      </c>
      <c r="C767" s="3" t="str">
        <f t="shared" si="248"/>
        <v>暮云街道</v>
      </c>
      <c r="D767" s="3" t="str">
        <f>"莲华村"</f>
        <v>莲华村</v>
      </c>
      <c r="E767" s="3" t="str">
        <f t="shared" si="229"/>
        <v>140</v>
      </c>
      <c r="F767" s="3" t="str">
        <f t="shared" si="245"/>
        <v>100</v>
      </c>
      <c r="G767" s="3" t="str">
        <f t="shared" si="250"/>
        <v>二级</v>
      </c>
    </row>
    <row r="768" customHeight="1" spans="1:7">
      <c r="A768" s="3" t="str">
        <f>"766"</f>
        <v>766</v>
      </c>
      <c r="B768" s="3" t="s">
        <v>146</v>
      </c>
      <c r="C768" s="3" t="str">
        <f t="shared" si="249"/>
        <v>南托街道</v>
      </c>
      <c r="D768" s="3" t="str">
        <f>"滨洲新村"</f>
        <v>滨洲新村</v>
      </c>
      <c r="E768" s="3" t="str">
        <f t="shared" si="229"/>
        <v>140</v>
      </c>
      <c r="F768" s="3" t="str">
        <f t="shared" si="245"/>
        <v>100</v>
      </c>
      <c r="G768" s="3" t="str">
        <f>"一级"</f>
        <v>一级</v>
      </c>
    </row>
    <row r="769" customHeight="1" spans="1:7">
      <c r="A769" s="3" t="str">
        <f>"767"</f>
        <v>767</v>
      </c>
      <c r="B769" s="3" t="s">
        <v>622</v>
      </c>
      <c r="C769" s="3" t="str">
        <f t="shared" si="249"/>
        <v>南托街道</v>
      </c>
      <c r="D769" s="3" t="str">
        <f>"牛角塘村"</f>
        <v>牛角塘村</v>
      </c>
      <c r="E769" s="3" t="str">
        <f t="shared" si="229"/>
        <v>140</v>
      </c>
      <c r="F769" s="3" t="str">
        <f t="shared" si="245"/>
        <v>100</v>
      </c>
      <c r="G769" s="3" t="str">
        <f t="shared" ref="G769:G778" si="251">"二级"</f>
        <v>二级</v>
      </c>
    </row>
    <row r="770" customHeight="1" spans="1:7">
      <c r="A770" s="3" t="str">
        <f>"768"</f>
        <v>768</v>
      </c>
      <c r="B770" s="3" t="s">
        <v>442</v>
      </c>
      <c r="C770" s="3" t="str">
        <f t="shared" si="249"/>
        <v>南托街道</v>
      </c>
      <c r="D770" s="3" t="str">
        <f>"滨洲新村"</f>
        <v>滨洲新村</v>
      </c>
      <c r="E770" s="3" t="str">
        <f t="shared" si="229"/>
        <v>140</v>
      </c>
      <c r="F770" s="3" t="str">
        <f t="shared" si="245"/>
        <v>100</v>
      </c>
      <c r="G770" s="3" t="str">
        <f t="shared" si="251"/>
        <v>二级</v>
      </c>
    </row>
    <row r="771" customHeight="1" spans="1:7">
      <c r="A771" s="3" t="str">
        <f>"769"</f>
        <v>769</v>
      </c>
      <c r="B771" s="3" t="s">
        <v>623</v>
      </c>
      <c r="C771" s="3" t="str">
        <f>"暮云街道"</f>
        <v>暮云街道</v>
      </c>
      <c r="D771" s="3" t="str">
        <f>"高云社区"</f>
        <v>高云社区</v>
      </c>
      <c r="E771" s="3" t="str">
        <f t="shared" ref="E771:E834" si="252">"140"</f>
        <v>140</v>
      </c>
      <c r="F771" s="3" t="str">
        <f t="shared" si="245"/>
        <v>100</v>
      </c>
      <c r="G771" s="3" t="str">
        <f>"一级"</f>
        <v>一级</v>
      </c>
    </row>
    <row r="772" customHeight="1" spans="1:7">
      <c r="A772" s="3" t="str">
        <f>"770"</f>
        <v>770</v>
      </c>
      <c r="B772" s="3" t="s">
        <v>624</v>
      </c>
      <c r="C772" s="3" t="str">
        <f>"暮云街道"</f>
        <v>暮云街道</v>
      </c>
      <c r="D772" s="3" t="str">
        <f>"华月湖社区"</f>
        <v>华月湖社区</v>
      </c>
      <c r="E772" s="3" t="str">
        <f t="shared" si="252"/>
        <v>140</v>
      </c>
      <c r="F772" s="3" t="str">
        <f t="shared" si="245"/>
        <v>100</v>
      </c>
      <c r="G772" s="3" t="str">
        <f t="shared" si="251"/>
        <v>二级</v>
      </c>
    </row>
    <row r="773" customHeight="1" spans="1:7">
      <c r="A773" s="3" t="str">
        <f>"771"</f>
        <v>771</v>
      </c>
      <c r="B773" s="3" t="s">
        <v>625</v>
      </c>
      <c r="C773" s="3" t="str">
        <f>"坡子街街道"</f>
        <v>坡子街街道</v>
      </c>
      <c r="D773" s="3" t="str">
        <f>"西湖社区"</f>
        <v>西湖社区</v>
      </c>
      <c r="E773" s="3" t="str">
        <f t="shared" si="252"/>
        <v>140</v>
      </c>
      <c r="F773" s="3" t="str">
        <f t="shared" si="245"/>
        <v>100</v>
      </c>
      <c r="G773" s="3" t="str">
        <f t="shared" si="251"/>
        <v>二级</v>
      </c>
    </row>
    <row r="774" customHeight="1" spans="1:7">
      <c r="A774" s="3" t="str">
        <f>"772"</f>
        <v>772</v>
      </c>
      <c r="B774" s="3" t="s">
        <v>68</v>
      </c>
      <c r="C774" s="3" t="str">
        <f>"城南路街道"</f>
        <v>城南路街道</v>
      </c>
      <c r="D774" s="3" t="str">
        <f>"白沙井社区"</f>
        <v>白沙井社区</v>
      </c>
      <c r="E774" s="3" t="str">
        <f t="shared" si="252"/>
        <v>140</v>
      </c>
      <c r="F774" s="3" t="str">
        <f t="shared" si="245"/>
        <v>100</v>
      </c>
      <c r="G774" s="3" t="str">
        <f t="shared" si="251"/>
        <v>二级</v>
      </c>
    </row>
    <row r="775" customHeight="1" spans="1:7">
      <c r="A775" s="3" t="str">
        <f>"773"</f>
        <v>773</v>
      </c>
      <c r="B775" s="3" t="s">
        <v>626</v>
      </c>
      <c r="C775" s="3" t="str">
        <f t="shared" ref="C775:C780" si="253">"南托街道"</f>
        <v>南托街道</v>
      </c>
      <c r="D775" s="3" t="str">
        <f>"融城社区"</f>
        <v>融城社区</v>
      </c>
      <c r="E775" s="3" t="str">
        <f t="shared" si="252"/>
        <v>140</v>
      </c>
      <c r="F775" s="3" t="str">
        <f t="shared" si="245"/>
        <v>100</v>
      </c>
      <c r="G775" s="3" t="str">
        <f t="shared" si="251"/>
        <v>二级</v>
      </c>
    </row>
    <row r="776" customHeight="1" spans="1:7">
      <c r="A776" s="3" t="str">
        <f>"774"</f>
        <v>774</v>
      </c>
      <c r="B776" s="3" t="s">
        <v>627</v>
      </c>
      <c r="C776" s="3" t="str">
        <f>"裕南街街道"</f>
        <v>裕南街街道</v>
      </c>
      <c r="D776" s="3" t="str">
        <f>"宝塔山社区"</f>
        <v>宝塔山社区</v>
      </c>
      <c r="E776" s="3" t="str">
        <f t="shared" si="252"/>
        <v>140</v>
      </c>
      <c r="F776" s="3" t="str">
        <f t="shared" si="245"/>
        <v>100</v>
      </c>
      <c r="G776" s="3" t="str">
        <f t="shared" si="251"/>
        <v>二级</v>
      </c>
    </row>
    <row r="777" customHeight="1" spans="1:7">
      <c r="A777" s="3" t="str">
        <f>"775"</f>
        <v>775</v>
      </c>
      <c r="B777" s="3" t="s">
        <v>628</v>
      </c>
      <c r="C777" s="3" t="str">
        <f t="shared" si="253"/>
        <v>南托街道</v>
      </c>
      <c r="D777" s="3" t="str">
        <f>"融城社区"</f>
        <v>融城社区</v>
      </c>
      <c r="E777" s="3" t="str">
        <f t="shared" si="252"/>
        <v>140</v>
      </c>
      <c r="F777" s="3" t="str">
        <f t="shared" si="245"/>
        <v>100</v>
      </c>
      <c r="G777" s="3" t="str">
        <f t="shared" si="251"/>
        <v>二级</v>
      </c>
    </row>
    <row r="778" customHeight="1" spans="1:7">
      <c r="A778" s="3" t="str">
        <f>"776"</f>
        <v>776</v>
      </c>
      <c r="B778" s="3" t="s">
        <v>629</v>
      </c>
      <c r="C778" s="3" t="str">
        <f>"文源街道"</f>
        <v>文源街道</v>
      </c>
      <c r="D778" s="3" t="str">
        <f>"金汇社区"</f>
        <v>金汇社区</v>
      </c>
      <c r="E778" s="3" t="str">
        <f t="shared" si="252"/>
        <v>140</v>
      </c>
      <c r="F778" s="3" t="str">
        <f t="shared" si="245"/>
        <v>100</v>
      </c>
      <c r="G778" s="3" t="str">
        <f t="shared" si="251"/>
        <v>二级</v>
      </c>
    </row>
    <row r="779" customHeight="1" spans="1:7">
      <c r="A779" s="3" t="str">
        <f>"777"</f>
        <v>777</v>
      </c>
      <c r="B779" s="3" t="s">
        <v>630</v>
      </c>
      <c r="C779" s="3" t="str">
        <f>"裕南街街道"</f>
        <v>裕南街街道</v>
      </c>
      <c r="D779" s="3" t="str">
        <f>"长坡社区"</f>
        <v>长坡社区</v>
      </c>
      <c r="E779" s="3" t="str">
        <f t="shared" si="252"/>
        <v>140</v>
      </c>
      <c r="F779" s="3" t="str">
        <f t="shared" si="245"/>
        <v>100</v>
      </c>
      <c r="G779" s="3" t="str">
        <f>"一级"</f>
        <v>一级</v>
      </c>
    </row>
    <row r="780" customHeight="1" spans="1:7">
      <c r="A780" s="3" t="str">
        <f>"778"</f>
        <v>778</v>
      </c>
      <c r="B780" s="3" t="s">
        <v>631</v>
      </c>
      <c r="C780" s="3" t="str">
        <f t="shared" si="253"/>
        <v>南托街道</v>
      </c>
      <c r="D780" s="3" t="str">
        <f>"牛角塘村"</f>
        <v>牛角塘村</v>
      </c>
      <c r="E780" s="3" t="str">
        <f t="shared" si="252"/>
        <v>140</v>
      </c>
      <c r="F780" s="3" t="str">
        <f t="shared" si="245"/>
        <v>100</v>
      </c>
      <c r="G780" s="3" t="str">
        <f t="shared" ref="G780:G785" si="254">"二级"</f>
        <v>二级</v>
      </c>
    </row>
    <row r="781" customHeight="1" spans="1:7">
      <c r="A781" s="3" t="str">
        <f>"779"</f>
        <v>779</v>
      </c>
      <c r="B781" s="3" t="s">
        <v>632</v>
      </c>
      <c r="C781" s="3" t="str">
        <f>"暮云街道"</f>
        <v>暮云街道</v>
      </c>
      <c r="D781" s="3" t="str">
        <f>"许兴村"</f>
        <v>许兴村</v>
      </c>
      <c r="E781" s="3" t="str">
        <f t="shared" si="252"/>
        <v>140</v>
      </c>
      <c r="F781" s="3" t="str">
        <f t="shared" si="245"/>
        <v>100</v>
      </c>
      <c r="G781" s="3" t="str">
        <f t="shared" si="254"/>
        <v>二级</v>
      </c>
    </row>
    <row r="782" customHeight="1" spans="1:7">
      <c r="A782" s="3" t="str">
        <f>"780"</f>
        <v>780</v>
      </c>
      <c r="B782" s="3" t="s">
        <v>11</v>
      </c>
      <c r="C782" s="3" t="str">
        <f>"南托街道"</f>
        <v>南托街道</v>
      </c>
      <c r="D782" s="3" t="str">
        <f>"滨洲新村"</f>
        <v>滨洲新村</v>
      </c>
      <c r="E782" s="3" t="str">
        <f t="shared" si="252"/>
        <v>140</v>
      </c>
      <c r="F782" s="3" t="str">
        <f t="shared" si="245"/>
        <v>100</v>
      </c>
      <c r="G782" s="3" t="str">
        <f>"一级"</f>
        <v>一级</v>
      </c>
    </row>
    <row r="783" customHeight="1" spans="1:7">
      <c r="A783" s="3" t="str">
        <f>"781"</f>
        <v>781</v>
      </c>
      <c r="B783" s="3" t="s">
        <v>633</v>
      </c>
      <c r="C783" s="3" t="str">
        <f>"南托街道"</f>
        <v>南托街道</v>
      </c>
      <c r="D783" s="3" t="str">
        <f>"沿江村"</f>
        <v>沿江村</v>
      </c>
      <c r="E783" s="3" t="str">
        <f t="shared" si="252"/>
        <v>140</v>
      </c>
      <c r="F783" s="3" t="str">
        <f t="shared" si="245"/>
        <v>100</v>
      </c>
      <c r="G783" s="3" t="str">
        <f t="shared" si="254"/>
        <v>二级</v>
      </c>
    </row>
    <row r="784" customHeight="1" spans="1:7">
      <c r="A784" s="3" t="str">
        <f>"782"</f>
        <v>782</v>
      </c>
      <c r="B784" s="3" t="s">
        <v>634</v>
      </c>
      <c r="C784" s="3" t="str">
        <f t="shared" ref="C784:C791" si="255">"暮云街道"</f>
        <v>暮云街道</v>
      </c>
      <c r="D784" s="3" t="str">
        <f>"暮云新村"</f>
        <v>暮云新村</v>
      </c>
      <c r="E784" s="3" t="str">
        <f t="shared" si="252"/>
        <v>140</v>
      </c>
      <c r="F784" s="3" t="str">
        <f t="shared" si="245"/>
        <v>100</v>
      </c>
      <c r="G784" s="3" t="str">
        <f t="shared" si="254"/>
        <v>二级</v>
      </c>
    </row>
    <row r="785" customHeight="1" spans="1:7">
      <c r="A785" s="3" t="str">
        <f>"783"</f>
        <v>783</v>
      </c>
      <c r="B785" s="3" t="s">
        <v>635</v>
      </c>
      <c r="C785" s="3" t="str">
        <f>"大托铺街道"</f>
        <v>大托铺街道</v>
      </c>
      <c r="D785" s="3" t="str">
        <f>"大托村委会"</f>
        <v>大托村委会</v>
      </c>
      <c r="E785" s="3" t="str">
        <f t="shared" si="252"/>
        <v>140</v>
      </c>
      <c r="F785" s="3" t="str">
        <f t="shared" si="245"/>
        <v>100</v>
      </c>
      <c r="G785" s="3" t="str">
        <f t="shared" si="254"/>
        <v>二级</v>
      </c>
    </row>
    <row r="786" customHeight="1" spans="1:7">
      <c r="A786" s="3" t="str">
        <f>"784"</f>
        <v>784</v>
      </c>
      <c r="B786" s="3" t="s">
        <v>636</v>
      </c>
      <c r="C786" s="3" t="str">
        <f>"大托铺街道"</f>
        <v>大托铺街道</v>
      </c>
      <c r="D786" s="3" t="str">
        <f>"大托村委会"</f>
        <v>大托村委会</v>
      </c>
      <c r="E786" s="3" t="str">
        <f t="shared" si="252"/>
        <v>140</v>
      </c>
      <c r="F786" s="3" t="str">
        <f t="shared" si="245"/>
        <v>100</v>
      </c>
      <c r="G786" s="3" t="str">
        <f>"一级"</f>
        <v>一级</v>
      </c>
    </row>
    <row r="787" customHeight="1" spans="1:7">
      <c r="A787" s="3" t="str">
        <f>"785"</f>
        <v>785</v>
      </c>
      <c r="B787" s="3" t="s">
        <v>637</v>
      </c>
      <c r="C787" s="3" t="str">
        <f t="shared" si="255"/>
        <v>暮云街道</v>
      </c>
      <c r="D787" s="3" t="str">
        <f>"暮云新村"</f>
        <v>暮云新村</v>
      </c>
      <c r="E787" s="3" t="str">
        <f t="shared" si="252"/>
        <v>140</v>
      </c>
      <c r="F787" s="3" t="str">
        <f t="shared" si="245"/>
        <v>100</v>
      </c>
      <c r="G787" s="3" t="str">
        <f t="shared" ref="G787:G790" si="256">"二级"</f>
        <v>二级</v>
      </c>
    </row>
    <row r="788" customHeight="1" spans="1:7">
      <c r="A788" s="3" t="str">
        <f>"786"</f>
        <v>786</v>
      </c>
      <c r="B788" s="3" t="s">
        <v>638</v>
      </c>
      <c r="C788" s="3" t="str">
        <f t="shared" ref="C788:C793" si="257">"南托街道"</f>
        <v>南托街道</v>
      </c>
      <c r="D788" s="3" t="str">
        <f>"滨洲新村"</f>
        <v>滨洲新村</v>
      </c>
      <c r="E788" s="3" t="str">
        <f t="shared" si="252"/>
        <v>140</v>
      </c>
      <c r="F788" s="3" t="str">
        <f t="shared" si="245"/>
        <v>100</v>
      </c>
      <c r="G788" s="3" t="str">
        <f t="shared" si="256"/>
        <v>二级</v>
      </c>
    </row>
    <row r="789" customHeight="1" spans="1:7">
      <c r="A789" s="3" t="str">
        <f>"787"</f>
        <v>787</v>
      </c>
      <c r="B789" s="3" t="s">
        <v>454</v>
      </c>
      <c r="C789" s="3" t="str">
        <f t="shared" si="255"/>
        <v>暮云街道</v>
      </c>
      <c r="D789" s="3" t="str">
        <f>"许兴村"</f>
        <v>许兴村</v>
      </c>
      <c r="E789" s="3" t="str">
        <f t="shared" si="252"/>
        <v>140</v>
      </c>
      <c r="F789" s="3" t="str">
        <f t="shared" si="245"/>
        <v>100</v>
      </c>
      <c r="G789" s="3" t="str">
        <f t="shared" si="256"/>
        <v>二级</v>
      </c>
    </row>
    <row r="790" customHeight="1" spans="1:7">
      <c r="A790" s="3" t="str">
        <f>"788"</f>
        <v>788</v>
      </c>
      <c r="B790" s="3" t="s">
        <v>639</v>
      </c>
      <c r="C790" s="3" t="str">
        <f t="shared" si="255"/>
        <v>暮云街道</v>
      </c>
      <c r="D790" s="3" t="str">
        <f>"许兴村"</f>
        <v>许兴村</v>
      </c>
      <c r="E790" s="3" t="str">
        <f t="shared" si="252"/>
        <v>140</v>
      </c>
      <c r="F790" s="3" t="str">
        <f t="shared" si="245"/>
        <v>100</v>
      </c>
      <c r="G790" s="3" t="str">
        <f t="shared" si="256"/>
        <v>二级</v>
      </c>
    </row>
    <row r="791" customHeight="1" spans="1:7">
      <c r="A791" s="3" t="str">
        <f>"789"</f>
        <v>789</v>
      </c>
      <c r="B791" s="3" t="s">
        <v>640</v>
      </c>
      <c r="C791" s="3" t="str">
        <f t="shared" si="255"/>
        <v>暮云街道</v>
      </c>
      <c r="D791" s="3" t="str">
        <f>"莲华村"</f>
        <v>莲华村</v>
      </c>
      <c r="E791" s="3" t="str">
        <f t="shared" si="252"/>
        <v>140</v>
      </c>
      <c r="F791" s="3" t="str">
        <f t="shared" si="245"/>
        <v>100</v>
      </c>
      <c r="G791" s="3" t="str">
        <f>"一级"</f>
        <v>一级</v>
      </c>
    </row>
    <row r="792" customHeight="1" spans="1:7">
      <c r="A792" s="3" t="str">
        <f>"790"</f>
        <v>790</v>
      </c>
      <c r="B792" s="3" t="s">
        <v>641</v>
      </c>
      <c r="C792" s="3" t="str">
        <f t="shared" si="257"/>
        <v>南托街道</v>
      </c>
      <c r="D792" s="3" t="str">
        <f t="shared" ref="D792:D796" si="258">"牛角塘村"</f>
        <v>牛角塘村</v>
      </c>
      <c r="E792" s="3" t="str">
        <f t="shared" si="252"/>
        <v>140</v>
      </c>
      <c r="F792" s="3" t="str">
        <f t="shared" si="245"/>
        <v>100</v>
      </c>
      <c r="G792" s="3" t="str">
        <f t="shared" ref="G792:G799" si="259">"二级"</f>
        <v>二级</v>
      </c>
    </row>
    <row r="793" customHeight="1" spans="1:7">
      <c r="A793" s="3" t="str">
        <f>"791"</f>
        <v>791</v>
      </c>
      <c r="B793" s="3" t="s">
        <v>642</v>
      </c>
      <c r="C793" s="3" t="str">
        <f t="shared" si="257"/>
        <v>南托街道</v>
      </c>
      <c r="D793" s="3" t="str">
        <f t="shared" si="258"/>
        <v>牛角塘村</v>
      </c>
      <c r="E793" s="3" t="str">
        <f t="shared" si="252"/>
        <v>140</v>
      </c>
      <c r="F793" s="3" t="str">
        <f t="shared" si="245"/>
        <v>100</v>
      </c>
      <c r="G793" s="3" t="str">
        <f t="shared" si="259"/>
        <v>二级</v>
      </c>
    </row>
    <row r="794" customHeight="1" spans="1:7">
      <c r="A794" s="3" t="str">
        <f>"792"</f>
        <v>792</v>
      </c>
      <c r="B794" s="3" t="s">
        <v>643</v>
      </c>
      <c r="C794" s="3" t="str">
        <f>"暮云街道"</f>
        <v>暮云街道</v>
      </c>
      <c r="D794" s="3" t="str">
        <f>"暮云社区"</f>
        <v>暮云社区</v>
      </c>
      <c r="E794" s="3" t="str">
        <f t="shared" si="252"/>
        <v>140</v>
      </c>
      <c r="F794" s="3" t="str">
        <f t="shared" si="245"/>
        <v>100</v>
      </c>
      <c r="G794" s="3" t="str">
        <f t="shared" si="259"/>
        <v>二级</v>
      </c>
    </row>
    <row r="795" customHeight="1" spans="1:7">
      <c r="A795" s="3" t="str">
        <f>"793"</f>
        <v>793</v>
      </c>
      <c r="B795" s="3" t="s">
        <v>644</v>
      </c>
      <c r="C795" s="3" t="str">
        <f t="shared" ref="C795:C797" si="260">"南托街道"</f>
        <v>南托街道</v>
      </c>
      <c r="D795" s="3" t="str">
        <f>"滨洲新村"</f>
        <v>滨洲新村</v>
      </c>
      <c r="E795" s="3" t="str">
        <f t="shared" si="252"/>
        <v>140</v>
      </c>
      <c r="F795" s="3" t="str">
        <f t="shared" si="245"/>
        <v>100</v>
      </c>
      <c r="G795" s="3" t="str">
        <f t="shared" si="259"/>
        <v>二级</v>
      </c>
    </row>
    <row r="796" customHeight="1" spans="1:7">
      <c r="A796" s="3" t="str">
        <f>"794"</f>
        <v>794</v>
      </c>
      <c r="B796" s="3" t="s">
        <v>645</v>
      </c>
      <c r="C796" s="3" t="str">
        <f t="shared" si="260"/>
        <v>南托街道</v>
      </c>
      <c r="D796" s="3" t="str">
        <f t="shared" si="258"/>
        <v>牛角塘村</v>
      </c>
      <c r="E796" s="3" t="str">
        <f t="shared" si="252"/>
        <v>140</v>
      </c>
      <c r="F796" s="3" t="str">
        <f t="shared" si="245"/>
        <v>100</v>
      </c>
      <c r="G796" s="3" t="str">
        <f t="shared" si="259"/>
        <v>二级</v>
      </c>
    </row>
    <row r="797" customHeight="1" spans="1:7">
      <c r="A797" s="3" t="str">
        <f>"795"</f>
        <v>795</v>
      </c>
      <c r="B797" s="3" t="s">
        <v>378</v>
      </c>
      <c r="C797" s="3" t="str">
        <f t="shared" si="260"/>
        <v>南托街道</v>
      </c>
      <c r="D797" s="3" t="str">
        <f>"滨洲新村"</f>
        <v>滨洲新村</v>
      </c>
      <c r="E797" s="3" t="str">
        <f t="shared" si="252"/>
        <v>140</v>
      </c>
      <c r="F797" s="3" t="str">
        <f t="shared" si="245"/>
        <v>100</v>
      </c>
      <c r="G797" s="3" t="str">
        <f t="shared" si="259"/>
        <v>二级</v>
      </c>
    </row>
    <row r="798" customHeight="1" spans="1:7">
      <c r="A798" s="3" t="str">
        <f>"796"</f>
        <v>796</v>
      </c>
      <c r="B798" s="3" t="s">
        <v>646</v>
      </c>
      <c r="C798" s="3" t="str">
        <f t="shared" ref="C798:C802" si="261">"暮云街道"</f>
        <v>暮云街道</v>
      </c>
      <c r="D798" s="3" t="str">
        <f>"暮云新村"</f>
        <v>暮云新村</v>
      </c>
      <c r="E798" s="3" t="str">
        <f t="shared" si="252"/>
        <v>140</v>
      </c>
      <c r="F798" s="3" t="str">
        <f t="shared" si="245"/>
        <v>100</v>
      </c>
      <c r="G798" s="3" t="str">
        <f t="shared" si="259"/>
        <v>二级</v>
      </c>
    </row>
    <row r="799" customHeight="1" spans="1:7">
      <c r="A799" s="3" t="str">
        <f>"797"</f>
        <v>797</v>
      </c>
      <c r="B799" s="3" t="s">
        <v>647</v>
      </c>
      <c r="C799" s="3" t="str">
        <f t="shared" ref="C799:C804" si="262">"南托街道"</f>
        <v>南托街道</v>
      </c>
      <c r="D799" s="3" t="str">
        <f t="shared" ref="D799:D804" si="263">"牛角塘村"</f>
        <v>牛角塘村</v>
      </c>
      <c r="E799" s="3" t="str">
        <f t="shared" si="252"/>
        <v>140</v>
      </c>
      <c r="F799" s="3" t="str">
        <f t="shared" si="245"/>
        <v>100</v>
      </c>
      <c r="G799" s="3" t="str">
        <f t="shared" si="259"/>
        <v>二级</v>
      </c>
    </row>
    <row r="800" customHeight="1" spans="1:7">
      <c r="A800" s="3" t="str">
        <f>"798"</f>
        <v>798</v>
      </c>
      <c r="B800" s="3" t="s">
        <v>648</v>
      </c>
      <c r="C800" s="3" t="str">
        <f t="shared" si="261"/>
        <v>暮云街道</v>
      </c>
      <c r="D800" s="3" t="str">
        <f t="shared" ref="D800:D802" si="264">"许兴村"</f>
        <v>许兴村</v>
      </c>
      <c r="E800" s="3" t="str">
        <f t="shared" si="252"/>
        <v>140</v>
      </c>
      <c r="F800" s="3" t="str">
        <f t="shared" si="245"/>
        <v>100</v>
      </c>
      <c r="G800" s="3" t="str">
        <f>"一级"</f>
        <v>一级</v>
      </c>
    </row>
    <row r="801" customHeight="1" spans="1:7">
      <c r="A801" s="3" t="str">
        <f>"799"</f>
        <v>799</v>
      </c>
      <c r="B801" s="3" t="s">
        <v>649</v>
      </c>
      <c r="C801" s="3" t="str">
        <f t="shared" si="261"/>
        <v>暮云街道</v>
      </c>
      <c r="D801" s="3" t="str">
        <f t="shared" si="264"/>
        <v>许兴村</v>
      </c>
      <c r="E801" s="3" t="str">
        <f t="shared" si="252"/>
        <v>140</v>
      </c>
      <c r="F801" s="3" t="str">
        <f t="shared" si="245"/>
        <v>100</v>
      </c>
      <c r="G801" s="3" t="str">
        <f t="shared" ref="G801:G805" si="265">"二级"</f>
        <v>二级</v>
      </c>
    </row>
    <row r="802" customHeight="1" spans="1:7">
      <c r="A802" s="3" t="str">
        <f>"800"</f>
        <v>800</v>
      </c>
      <c r="B802" s="3" t="s">
        <v>650</v>
      </c>
      <c r="C802" s="3" t="str">
        <f t="shared" si="261"/>
        <v>暮云街道</v>
      </c>
      <c r="D802" s="3" t="str">
        <f t="shared" si="264"/>
        <v>许兴村</v>
      </c>
      <c r="E802" s="3" t="str">
        <f t="shared" si="252"/>
        <v>140</v>
      </c>
      <c r="F802" s="3" t="str">
        <f t="shared" si="245"/>
        <v>100</v>
      </c>
      <c r="G802" s="3" t="str">
        <f t="shared" si="265"/>
        <v>二级</v>
      </c>
    </row>
    <row r="803" customHeight="1" spans="1:7">
      <c r="A803" s="3" t="str">
        <f>"801"</f>
        <v>801</v>
      </c>
      <c r="B803" s="3" t="s">
        <v>651</v>
      </c>
      <c r="C803" s="3" t="str">
        <f t="shared" si="262"/>
        <v>南托街道</v>
      </c>
      <c r="D803" s="3" t="str">
        <f t="shared" si="263"/>
        <v>牛角塘村</v>
      </c>
      <c r="E803" s="3" t="str">
        <f t="shared" si="252"/>
        <v>140</v>
      </c>
      <c r="F803" s="3" t="str">
        <f t="shared" si="245"/>
        <v>100</v>
      </c>
      <c r="G803" s="3" t="str">
        <f t="shared" ref="G803:G807" si="266">"一级"</f>
        <v>一级</v>
      </c>
    </row>
    <row r="804" customHeight="1" spans="1:7">
      <c r="A804" s="3" t="str">
        <f>"802"</f>
        <v>802</v>
      </c>
      <c r="B804" s="3" t="s">
        <v>261</v>
      </c>
      <c r="C804" s="3" t="str">
        <f t="shared" si="262"/>
        <v>南托街道</v>
      </c>
      <c r="D804" s="3" t="str">
        <f t="shared" si="263"/>
        <v>牛角塘村</v>
      </c>
      <c r="E804" s="3" t="str">
        <f t="shared" si="252"/>
        <v>140</v>
      </c>
      <c r="F804" s="3" t="str">
        <f t="shared" si="245"/>
        <v>100</v>
      </c>
      <c r="G804" s="3" t="str">
        <f t="shared" si="265"/>
        <v>二级</v>
      </c>
    </row>
    <row r="805" customHeight="1" spans="1:7">
      <c r="A805" s="3" t="str">
        <f>"803"</f>
        <v>803</v>
      </c>
      <c r="B805" s="3" t="s">
        <v>652</v>
      </c>
      <c r="C805" s="3" t="str">
        <f>"暮云街道"</f>
        <v>暮云街道</v>
      </c>
      <c r="D805" s="3" t="str">
        <f>"莲华村"</f>
        <v>莲华村</v>
      </c>
      <c r="E805" s="3" t="str">
        <f t="shared" si="252"/>
        <v>140</v>
      </c>
      <c r="F805" s="3" t="str">
        <f t="shared" si="245"/>
        <v>100</v>
      </c>
      <c r="G805" s="3" t="str">
        <f t="shared" si="265"/>
        <v>二级</v>
      </c>
    </row>
    <row r="806" customHeight="1" spans="1:7">
      <c r="A806" s="3" t="str">
        <f>"804"</f>
        <v>804</v>
      </c>
      <c r="B806" s="3" t="s">
        <v>653</v>
      </c>
      <c r="C806" s="3" t="str">
        <f t="shared" ref="C806:C809" si="267">"南托街道"</f>
        <v>南托街道</v>
      </c>
      <c r="D806" s="3" t="str">
        <f>"滨洲新村"</f>
        <v>滨洲新村</v>
      </c>
      <c r="E806" s="3" t="str">
        <f t="shared" si="252"/>
        <v>140</v>
      </c>
      <c r="F806" s="3" t="str">
        <f t="shared" si="245"/>
        <v>100</v>
      </c>
      <c r="G806" s="3" t="str">
        <f t="shared" si="266"/>
        <v>一级</v>
      </c>
    </row>
    <row r="807" customHeight="1" spans="1:7">
      <c r="A807" s="3" t="str">
        <f>"805"</f>
        <v>805</v>
      </c>
      <c r="B807" s="3" t="s">
        <v>654</v>
      </c>
      <c r="C807" s="3" t="str">
        <f t="shared" si="267"/>
        <v>南托街道</v>
      </c>
      <c r="D807" s="3" t="str">
        <f>"牛角塘村"</f>
        <v>牛角塘村</v>
      </c>
      <c r="E807" s="3" t="str">
        <f t="shared" si="252"/>
        <v>140</v>
      </c>
      <c r="F807" s="3" t="str">
        <f t="shared" si="245"/>
        <v>100</v>
      </c>
      <c r="G807" s="3" t="str">
        <f t="shared" si="266"/>
        <v>一级</v>
      </c>
    </row>
    <row r="808" customHeight="1" spans="1:7">
      <c r="A808" s="3" t="str">
        <f>"806"</f>
        <v>806</v>
      </c>
      <c r="B808" s="3" t="s">
        <v>655</v>
      </c>
      <c r="C808" s="3" t="str">
        <f t="shared" si="267"/>
        <v>南托街道</v>
      </c>
      <c r="D808" s="3" t="str">
        <f>"南鑫社区"</f>
        <v>南鑫社区</v>
      </c>
      <c r="E808" s="3" t="str">
        <f t="shared" si="252"/>
        <v>140</v>
      </c>
      <c r="F808" s="3" t="str">
        <f t="shared" si="245"/>
        <v>100</v>
      </c>
      <c r="G808" s="3" t="str">
        <f t="shared" ref="G808:G813" si="268">"二级"</f>
        <v>二级</v>
      </c>
    </row>
    <row r="809" customHeight="1" spans="1:7">
      <c r="A809" s="3" t="str">
        <f>"807"</f>
        <v>807</v>
      </c>
      <c r="B809" s="3" t="s">
        <v>656</v>
      </c>
      <c r="C809" s="3" t="str">
        <f t="shared" si="267"/>
        <v>南托街道</v>
      </c>
      <c r="D809" s="3" t="str">
        <f>"滨洲新村"</f>
        <v>滨洲新村</v>
      </c>
      <c r="E809" s="3" t="str">
        <f t="shared" si="252"/>
        <v>140</v>
      </c>
      <c r="F809" s="3" t="str">
        <f t="shared" si="245"/>
        <v>100</v>
      </c>
      <c r="G809" s="3" t="str">
        <f>"一级"</f>
        <v>一级</v>
      </c>
    </row>
    <row r="810" customHeight="1" spans="1:7">
      <c r="A810" s="3" t="str">
        <f>"808"</f>
        <v>808</v>
      </c>
      <c r="B810" s="3" t="s">
        <v>657</v>
      </c>
      <c r="C810" s="3" t="str">
        <f t="shared" ref="C810:C813" si="269">"暮云街道"</f>
        <v>暮云街道</v>
      </c>
      <c r="D810" s="3" t="str">
        <f>"高云社区"</f>
        <v>高云社区</v>
      </c>
      <c r="E810" s="3" t="str">
        <f t="shared" si="252"/>
        <v>140</v>
      </c>
      <c r="F810" s="3" t="str">
        <f t="shared" si="245"/>
        <v>100</v>
      </c>
      <c r="G810" s="3" t="str">
        <f t="shared" si="268"/>
        <v>二级</v>
      </c>
    </row>
    <row r="811" customHeight="1" spans="1:7">
      <c r="A811" s="3" t="str">
        <f>"809"</f>
        <v>809</v>
      </c>
      <c r="B811" s="3" t="s">
        <v>658</v>
      </c>
      <c r="C811" s="3" t="str">
        <f>"南托街道"</f>
        <v>南托街道</v>
      </c>
      <c r="D811" s="3" t="str">
        <f>"沿江村"</f>
        <v>沿江村</v>
      </c>
      <c r="E811" s="3" t="str">
        <f t="shared" si="252"/>
        <v>140</v>
      </c>
      <c r="F811" s="3" t="str">
        <f t="shared" si="245"/>
        <v>100</v>
      </c>
      <c r="G811" s="3" t="str">
        <f t="shared" si="268"/>
        <v>二级</v>
      </c>
    </row>
    <row r="812" customHeight="1" spans="1:7">
      <c r="A812" s="3" t="str">
        <f>"810"</f>
        <v>810</v>
      </c>
      <c r="B812" s="3" t="s">
        <v>146</v>
      </c>
      <c r="C812" s="3" t="str">
        <f t="shared" si="269"/>
        <v>暮云街道</v>
      </c>
      <c r="D812" s="3" t="str">
        <f>"高云社区"</f>
        <v>高云社区</v>
      </c>
      <c r="E812" s="3" t="str">
        <f t="shared" si="252"/>
        <v>140</v>
      </c>
      <c r="F812" s="3" t="str">
        <f t="shared" si="245"/>
        <v>100</v>
      </c>
      <c r="G812" s="3" t="str">
        <f t="shared" si="268"/>
        <v>二级</v>
      </c>
    </row>
    <row r="813" customHeight="1" spans="1:7">
      <c r="A813" s="3" t="str">
        <f>"811"</f>
        <v>811</v>
      </c>
      <c r="B813" s="3" t="s">
        <v>659</v>
      </c>
      <c r="C813" s="3" t="str">
        <f t="shared" si="269"/>
        <v>暮云街道</v>
      </c>
      <c r="D813" s="3" t="str">
        <f>"暮云社区"</f>
        <v>暮云社区</v>
      </c>
      <c r="E813" s="3" t="str">
        <f t="shared" si="252"/>
        <v>140</v>
      </c>
      <c r="F813" s="3" t="str">
        <f t="shared" si="245"/>
        <v>100</v>
      </c>
      <c r="G813" s="3" t="str">
        <f t="shared" si="268"/>
        <v>二级</v>
      </c>
    </row>
    <row r="814" customHeight="1" spans="1:7">
      <c r="A814" s="3" t="str">
        <f>"812"</f>
        <v>812</v>
      </c>
      <c r="B814" s="3" t="s">
        <v>660</v>
      </c>
      <c r="C814" s="3" t="str">
        <f t="shared" ref="C814:C819" si="270">"大托铺街道"</f>
        <v>大托铺街道</v>
      </c>
      <c r="D814" s="3" t="str">
        <f>"大托村委会"</f>
        <v>大托村委会</v>
      </c>
      <c r="E814" s="3" t="str">
        <f t="shared" si="252"/>
        <v>140</v>
      </c>
      <c r="F814" s="3" t="str">
        <f t="shared" si="245"/>
        <v>100</v>
      </c>
      <c r="G814" s="3" t="str">
        <f>"一级"</f>
        <v>一级</v>
      </c>
    </row>
    <row r="815" customHeight="1" spans="1:7">
      <c r="A815" s="3" t="str">
        <f>"813"</f>
        <v>813</v>
      </c>
      <c r="B815" s="3" t="s">
        <v>661</v>
      </c>
      <c r="C815" s="3" t="str">
        <f>"暮云街道"</f>
        <v>暮云街道</v>
      </c>
      <c r="D815" s="3" t="str">
        <f>"暮云社区"</f>
        <v>暮云社区</v>
      </c>
      <c r="E815" s="3" t="str">
        <f t="shared" si="252"/>
        <v>140</v>
      </c>
      <c r="F815" s="3" t="str">
        <f t="shared" si="245"/>
        <v>100</v>
      </c>
      <c r="G815" s="3" t="str">
        <f>"一级"</f>
        <v>一级</v>
      </c>
    </row>
    <row r="816" customHeight="1" spans="1:7">
      <c r="A816" s="3" t="str">
        <f>"814"</f>
        <v>814</v>
      </c>
      <c r="B816" s="3" t="s">
        <v>80</v>
      </c>
      <c r="C816" s="3" t="str">
        <f>"暮云街道"</f>
        <v>暮云街道</v>
      </c>
      <c r="D816" s="3" t="str">
        <f>"暮云新村"</f>
        <v>暮云新村</v>
      </c>
      <c r="E816" s="3" t="str">
        <f t="shared" si="252"/>
        <v>140</v>
      </c>
      <c r="F816" s="3" t="str">
        <f t="shared" si="245"/>
        <v>100</v>
      </c>
      <c r="G816" s="3" t="str">
        <f t="shared" ref="G816:G819" si="271">"二级"</f>
        <v>二级</v>
      </c>
    </row>
    <row r="817" customHeight="1" spans="1:7">
      <c r="A817" s="3" t="str">
        <f>"815"</f>
        <v>815</v>
      </c>
      <c r="B817" s="3" t="s">
        <v>662</v>
      </c>
      <c r="C817" s="3" t="str">
        <f>"南托街道"</f>
        <v>南托街道</v>
      </c>
      <c r="D817" s="3" t="str">
        <f>"牛角塘村"</f>
        <v>牛角塘村</v>
      </c>
      <c r="E817" s="3" t="str">
        <f t="shared" si="252"/>
        <v>140</v>
      </c>
      <c r="F817" s="3" t="str">
        <f t="shared" si="245"/>
        <v>100</v>
      </c>
      <c r="G817" s="3" t="str">
        <f t="shared" si="271"/>
        <v>二级</v>
      </c>
    </row>
    <row r="818" customHeight="1" spans="1:7">
      <c r="A818" s="3" t="str">
        <f>"816"</f>
        <v>816</v>
      </c>
      <c r="B818" s="3" t="s">
        <v>663</v>
      </c>
      <c r="C818" s="3" t="str">
        <f t="shared" si="270"/>
        <v>大托铺街道</v>
      </c>
      <c r="D818" s="3" t="str">
        <f>"新港村委会"</f>
        <v>新港村委会</v>
      </c>
      <c r="E818" s="3" t="str">
        <f t="shared" si="252"/>
        <v>140</v>
      </c>
      <c r="F818" s="3" t="str">
        <f t="shared" si="245"/>
        <v>100</v>
      </c>
      <c r="G818" s="3" t="str">
        <f t="shared" si="271"/>
        <v>二级</v>
      </c>
    </row>
    <row r="819" customHeight="1" spans="1:7">
      <c r="A819" s="3" t="str">
        <f>"817"</f>
        <v>817</v>
      </c>
      <c r="B819" s="3" t="s">
        <v>664</v>
      </c>
      <c r="C819" s="3" t="str">
        <f t="shared" si="270"/>
        <v>大托铺街道</v>
      </c>
      <c r="D819" s="3" t="str">
        <f>"大托村委会"</f>
        <v>大托村委会</v>
      </c>
      <c r="E819" s="3" t="str">
        <f t="shared" si="252"/>
        <v>140</v>
      </c>
      <c r="F819" s="3" t="str">
        <f t="shared" si="245"/>
        <v>100</v>
      </c>
      <c r="G819" s="3" t="str">
        <f t="shared" si="271"/>
        <v>二级</v>
      </c>
    </row>
    <row r="820" customHeight="1" spans="1:7">
      <c r="A820" s="3" t="str">
        <f>"818"</f>
        <v>818</v>
      </c>
      <c r="B820" s="3" t="s">
        <v>142</v>
      </c>
      <c r="C820" s="3" t="str">
        <f>"坡子街街道"</f>
        <v>坡子街街道</v>
      </c>
      <c r="D820" s="3" t="str">
        <f>"太平街社区"</f>
        <v>太平街社区</v>
      </c>
      <c r="E820" s="3" t="str">
        <f t="shared" si="252"/>
        <v>140</v>
      </c>
      <c r="F820" s="3" t="str">
        <f t="shared" ref="F820:F883" si="272">"100"</f>
        <v>100</v>
      </c>
      <c r="G820" s="3" t="str">
        <f>"一级"</f>
        <v>一级</v>
      </c>
    </row>
    <row r="821" customHeight="1" spans="1:7">
      <c r="A821" s="3" t="str">
        <f>"819"</f>
        <v>819</v>
      </c>
      <c r="B821" s="3" t="s">
        <v>665</v>
      </c>
      <c r="C821" s="3" t="str">
        <f>"文源街道"</f>
        <v>文源街道</v>
      </c>
      <c r="D821" s="3" t="str">
        <f>"状元坡社区"</f>
        <v>状元坡社区</v>
      </c>
      <c r="E821" s="3" t="str">
        <f t="shared" si="252"/>
        <v>140</v>
      </c>
      <c r="F821" s="3" t="str">
        <f t="shared" si="272"/>
        <v>100</v>
      </c>
      <c r="G821" s="3" t="str">
        <f t="shared" ref="G821:G834" si="273">"二级"</f>
        <v>二级</v>
      </c>
    </row>
    <row r="822" customHeight="1" spans="1:7">
      <c r="A822" s="3" t="str">
        <f>"820"</f>
        <v>820</v>
      </c>
      <c r="B822" s="3" t="s">
        <v>666</v>
      </c>
      <c r="C822" s="3" t="str">
        <f>"大托铺街道"</f>
        <v>大托铺街道</v>
      </c>
      <c r="D822" s="3" t="str">
        <f>"桂井村委会"</f>
        <v>桂井村委会</v>
      </c>
      <c r="E822" s="3" t="str">
        <f t="shared" si="252"/>
        <v>140</v>
      </c>
      <c r="F822" s="3" t="str">
        <f t="shared" si="272"/>
        <v>100</v>
      </c>
      <c r="G822" s="3" t="str">
        <f t="shared" si="273"/>
        <v>二级</v>
      </c>
    </row>
    <row r="823" customHeight="1" spans="1:7">
      <c r="A823" s="3" t="str">
        <f>"821"</f>
        <v>821</v>
      </c>
      <c r="B823" s="3" t="s">
        <v>667</v>
      </c>
      <c r="C823" s="3" t="str">
        <f>"裕南街街道"</f>
        <v>裕南街街道</v>
      </c>
      <c r="D823" s="3" t="str">
        <f>"南站社区"</f>
        <v>南站社区</v>
      </c>
      <c r="E823" s="3" t="str">
        <f t="shared" si="252"/>
        <v>140</v>
      </c>
      <c r="F823" s="3" t="str">
        <f t="shared" si="272"/>
        <v>100</v>
      </c>
      <c r="G823" s="3" t="str">
        <f>"一级"</f>
        <v>一级</v>
      </c>
    </row>
    <row r="824" customHeight="1" spans="1:7">
      <c r="A824" s="3" t="str">
        <f>"822"</f>
        <v>822</v>
      </c>
      <c r="B824" s="3" t="s">
        <v>668</v>
      </c>
      <c r="C824" s="3" t="str">
        <f>"文源街道"</f>
        <v>文源街道</v>
      </c>
      <c r="D824" s="3" t="str">
        <f>"金汇社区"</f>
        <v>金汇社区</v>
      </c>
      <c r="E824" s="3" t="str">
        <f t="shared" si="252"/>
        <v>140</v>
      </c>
      <c r="F824" s="3" t="str">
        <f t="shared" si="272"/>
        <v>100</v>
      </c>
      <c r="G824" s="3" t="str">
        <f t="shared" si="273"/>
        <v>二级</v>
      </c>
    </row>
    <row r="825" customHeight="1" spans="1:7">
      <c r="A825" s="3" t="str">
        <f>"823"</f>
        <v>823</v>
      </c>
      <c r="B825" s="3" t="s">
        <v>669</v>
      </c>
      <c r="C825" s="3" t="str">
        <f>"赤岭路街道"</f>
        <v>赤岭路街道</v>
      </c>
      <c r="D825" s="3" t="str">
        <f>"芙蓉南路社区"</f>
        <v>芙蓉南路社区</v>
      </c>
      <c r="E825" s="3" t="str">
        <f t="shared" si="252"/>
        <v>140</v>
      </c>
      <c r="F825" s="3" t="str">
        <f t="shared" si="272"/>
        <v>100</v>
      </c>
      <c r="G825" s="3" t="str">
        <f t="shared" si="273"/>
        <v>二级</v>
      </c>
    </row>
    <row r="826" customHeight="1" spans="1:7">
      <c r="A826" s="3" t="str">
        <f>"824"</f>
        <v>824</v>
      </c>
      <c r="B826" s="3" t="s">
        <v>670</v>
      </c>
      <c r="C826" s="3" t="str">
        <f>"大托铺街道"</f>
        <v>大托铺街道</v>
      </c>
      <c r="D826" s="3" t="str">
        <f>"新港村委会"</f>
        <v>新港村委会</v>
      </c>
      <c r="E826" s="3" t="str">
        <f t="shared" si="252"/>
        <v>140</v>
      </c>
      <c r="F826" s="3" t="str">
        <f t="shared" si="272"/>
        <v>100</v>
      </c>
      <c r="G826" s="3" t="str">
        <f t="shared" si="273"/>
        <v>二级</v>
      </c>
    </row>
    <row r="827" customHeight="1" spans="1:7">
      <c r="A827" s="3" t="str">
        <f>"825"</f>
        <v>825</v>
      </c>
      <c r="B827" s="3" t="s">
        <v>671</v>
      </c>
      <c r="C827" s="3" t="str">
        <f>"裕南街街道"</f>
        <v>裕南街街道</v>
      </c>
      <c r="D827" s="3" t="str">
        <f>"宝塔山社区"</f>
        <v>宝塔山社区</v>
      </c>
      <c r="E827" s="3" t="str">
        <f t="shared" si="252"/>
        <v>140</v>
      </c>
      <c r="F827" s="3" t="str">
        <f t="shared" si="272"/>
        <v>100</v>
      </c>
      <c r="G827" s="3" t="str">
        <f t="shared" si="273"/>
        <v>二级</v>
      </c>
    </row>
    <row r="828" customHeight="1" spans="1:7">
      <c r="A828" s="3" t="str">
        <f>"826"</f>
        <v>826</v>
      </c>
      <c r="B828" s="3" t="s">
        <v>672</v>
      </c>
      <c r="C828" s="3" t="str">
        <f>"大托铺街道"</f>
        <v>大托铺街道</v>
      </c>
      <c r="D828" s="3" t="str">
        <f>"兴隆村委会"</f>
        <v>兴隆村委会</v>
      </c>
      <c r="E828" s="3" t="str">
        <f t="shared" si="252"/>
        <v>140</v>
      </c>
      <c r="F828" s="3" t="str">
        <f t="shared" si="272"/>
        <v>100</v>
      </c>
      <c r="G828" s="3" t="str">
        <f t="shared" si="273"/>
        <v>二级</v>
      </c>
    </row>
    <row r="829" customHeight="1" spans="1:7">
      <c r="A829" s="3" t="str">
        <f>"827"</f>
        <v>827</v>
      </c>
      <c r="B829" s="3" t="s">
        <v>673</v>
      </c>
      <c r="C829" s="3" t="str">
        <f>"青园街道"</f>
        <v>青园街道</v>
      </c>
      <c r="D829" s="3" t="str">
        <f>"友谊社区"</f>
        <v>友谊社区</v>
      </c>
      <c r="E829" s="3" t="str">
        <f t="shared" si="252"/>
        <v>140</v>
      </c>
      <c r="F829" s="3" t="str">
        <f t="shared" si="272"/>
        <v>100</v>
      </c>
      <c r="G829" s="3" t="str">
        <f t="shared" si="273"/>
        <v>二级</v>
      </c>
    </row>
    <row r="830" customHeight="1" spans="1:7">
      <c r="A830" s="3" t="str">
        <f>"828"</f>
        <v>828</v>
      </c>
      <c r="B830" s="3" t="s">
        <v>674</v>
      </c>
      <c r="C830" s="3" t="str">
        <f t="shared" ref="C830:C834" si="274">"黑石铺街道"</f>
        <v>黑石铺街道</v>
      </c>
      <c r="D830" s="3" t="str">
        <f>"披塘村委会"</f>
        <v>披塘村委会</v>
      </c>
      <c r="E830" s="3" t="str">
        <f t="shared" si="252"/>
        <v>140</v>
      </c>
      <c r="F830" s="3" t="str">
        <f t="shared" si="272"/>
        <v>100</v>
      </c>
      <c r="G830" s="3" t="str">
        <f t="shared" si="273"/>
        <v>二级</v>
      </c>
    </row>
    <row r="831" customHeight="1" spans="1:7">
      <c r="A831" s="3" t="str">
        <f>"829"</f>
        <v>829</v>
      </c>
      <c r="B831" s="3" t="s">
        <v>380</v>
      </c>
      <c r="C831" s="3" t="str">
        <f>"赤岭路街道"</f>
        <v>赤岭路街道</v>
      </c>
      <c r="D831" s="3" t="str">
        <f>"新丰社区"</f>
        <v>新丰社区</v>
      </c>
      <c r="E831" s="3" t="str">
        <f t="shared" si="252"/>
        <v>140</v>
      </c>
      <c r="F831" s="3" t="str">
        <f t="shared" si="272"/>
        <v>100</v>
      </c>
      <c r="G831" s="3" t="str">
        <f t="shared" si="273"/>
        <v>二级</v>
      </c>
    </row>
    <row r="832" customHeight="1" spans="1:7">
      <c r="A832" s="3" t="str">
        <f>"830"</f>
        <v>830</v>
      </c>
      <c r="B832" s="3" t="s">
        <v>54</v>
      </c>
      <c r="C832" s="3" t="str">
        <f>"南托街道"</f>
        <v>南托街道</v>
      </c>
      <c r="D832" s="3" t="str">
        <f>"沿江村"</f>
        <v>沿江村</v>
      </c>
      <c r="E832" s="3" t="str">
        <f t="shared" si="252"/>
        <v>140</v>
      </c>
      <c r="F832" s="3" t="str">
        <f t="shared" si="272"/>
        <v>100</v>
      </c>
      <c r="G832" s="3" t="str">
        <f t="shared" si="273"/>
        <v>二级</v>
      </c>
    </row>
    <row r="833" customHeight="1" spans="1:7">
      <c r="A833" s="3" t="str">
        <f>"831"</f>
        <v>831</v>
      </c>
      <c r="B833" s="3" t="s">
        <v>675</v>
      </c>
      <c r="C833" s="3" t="str">
        <f t="shared" si="274"/>
        <v>黑石铺街道</v>
      </c>
      <c r="D833" s="3" t="str">
        <f>"创谷社区"</f>
        <v>创谷社区</v>
      </c>
      <c r="E833" s="3" t="str">
        <f t="shared" si="252"/>
        <v>140</v>
      </c>
      <c r="F833" s="3" t="str">
        <f t="shared" si="272"/>
        <v>100</v>
      </c>
      <c r="G833" s="3" t="str">
        <f t="shared" si="273"/>
        <v>二级</v>
      </c>
    </row>
    <row r="834" customHeight="1" spans="1:7">
      <c r="A834" s="3" t="str">
        <f>"832"</f>
        <v>832</v>
      </c>
      <c r="B834" s="3" t="s">
        <v>294</v>
      </c>
      <c r="C834" s="3" t="str">
        <f t="shared" si="274"/>
        <v>黑石铺街道</v>
      </c>
      <c r="D834" s="3" t="str">
        <f>"创谷社区"</f>
        <v>创谷社区</v>
      </c>
      <c r="E834" s="3" t="str">
        <f t="shared" si="252"/>
        <v>140</v>
      </c>
      <c r="F834" s="3" t="str">
        <f t="shared" si="272"/>
        <v>100</v>
      </c>
      <c r="G834" s="3" t="str">
        <f t="shared" si="273"/>
        <v>二级</v>
      </c>
    </row>
    <row r="835" customHeight="1" spans="1:7">
      <c r="A835" s="3" t="str">
        <f>"833"</f>
        <v>833</v>
      </c>
      <c r="B835" s="3" t="s">
        <v>676</v>
      </c>
      <c r="C835" s="3" t="str">
        <f t="shared" ref="C835:C838" si="275">"大托铺街道"</f>
        <v>大托铺街道</v>
      </c>
      <c r="D835" s="3" t="str">
        <f>"新港村委会"</f>
        <v>新港村委会</v>
      </c>
      <c r="E835" s="3" t="str">
        <f t="shared" ref="E835:E898" si="276">"140"</f>
        <v>140</v>
      </c>
      <c r="F835" s="3" t="str">
        <f t="shared" si="272"/>
        <v>100</v>
      </c>
      <c r="G835" s="3" t="str">
        <f t="shared" ref="G835:G840" si="277">"一级"</f>
        <v>一级</v>
      </c>
    </row>
    <row r="836" customHeight="1" spans="1:7">
      <c r="A836" s="3" t="str">
        <f>"834"</f>
        <v>834</v>
      </c>
      <c r="B836" s="3" t="s">
        <v>267</v>
      </c>
      <c r="C836" s="3" t="str">
        <f>"黑石铺街道"</f>
        <v>黑石铺街道</v>
      </c>
      <c r="D836" s="3" t="str">
        <f>"一力社区"</f>
        <v>一力社区</v>
      </c>
      <c r="E836" s="3" t="str">
        <f t="shared" si="276"/>
        <v>140</v>
      </c>
      <c r="F836" s="3" t="str">
        <f t="shared" si="272"/>
        <v>100</v>
      </c>
      <c r="G836" s="3" t="str">
        <f t="shared" si="277"/>
        <v>一级</v>
      </c>
    </row>
    <row r="837" customHeight="1" spans="1:7">
      <c r="A837" s="3" t="str">
        <f>"835"</f>
        <v>835</v>
      </c>
      <c r="B837" s="3" t="s">
        <v>110</v>
      </c>
      <c r="C837" s="3" t="str">
        <f t="shared" si="275"/>
        <v>大托铺街道</v>
      </c>
      <c r="D837" s="3" t="str">
        <f>"兴隆村委会"</f>
        <v>兴隆村委会</v>
      </c>
      <c r="E837" s="3" t="str">
        <f t="shared" si="276"/>
        <v>140</v>
      </c>
      <c r="F837" s="3" t="str">
        <f t="shared" si="272"/>
        <v>100</v>
      </c>
      <c r="G837" s="3" t="str">
        <f t="shared" ref="G837:G839" si="278">"二级"</f>
        <v>二级</v>
      </c>
    </row>
    <row r="838" customHeight="1" spans="1:7">
      <c r="A838" s="3" t="str">
        <f>"836"</f>
        <v>836</v>
      </c>
      <c r="B838" s="3" t="s">
        <v>677</v>
      </c>
      <c r="C838" s="3" t="str">
        <f t="shared" si="275"/>
        <v>大托铺街道</v>
      </c>
      <c r="D838" s="3" t="str">
        <f>"黄合村委会"</f>
        <v>黄合村委会</v>
      </c>
      <c r="E838" s="3" t="str">
        <f t="shared" si="276"/>
        <v>140</v>
      </c>
      <c r="F838" s="3" t="str">
        <f t="shared" si="272"/>
        <v>100</v>
      </c>
      <c r="G838" s="3" t="str">
        <f t="shared" si="278"/>
        <v>二级</v>
      </c>
    </row>
    <row r="839" customHeight="1" spans="1:7">
      <c r="A839" s="3" t="str">
        <f>"837"</f>
        <v>837</v>
      </c>
      <c r="B839" s="3" t="s">
        <v>418</v>
      </c>
      <c r="C839" s="3" t="str">
        <f>"新开铺街道"</f>
        <v>新开铺街道</v>
      </c>
      <c r="D839" s="3" t="str">
        <f>"新天村委会"</f>
        <v>新天村委会</v>
      </c>
      <c r="E839" s="3" t="str">
        <f t="shared" si="276"/>
        <v>140</v>
      </c>
      <c r="F839" s="3" t="str">
        <f t="shared" si="272"/>
        <v>100</v>
      </c>
      <c r="G839" s="3" t="str">
        <f t="shared" si="278"/>
        <v>二级</v>
      </c>
    </row>
    <row r="840" customHeight="1" spans="1:7">
      <c r="A840" s="3" t="str">
        <f>"838"</f>
        <v>838</v>
      </c>
      <c r="B840" s="3" t="s">
        <v>678</v>
      </c>
      <c r="C840" s="3" t="str">
        <f>"裕南街街道"</f>
        <v>裕南街街道</v>
      </c>
      <c r="D840" s="3" t="str">
        <f>"杏花园社区"</f>
        <v>杏花园社区</v>
      </c>
      <c r="E840" s="3" t="str">
        <f t="shared" si="276"/>
        <v>140</v>
      </c>
      <c r="F840" s="3" t="str">
        <f t="shared" si="272"/>
        <v>100</v>
      </c>
      <c r="G840" s="3" t="str">
        <f t="shared" si="277"/>
        <v>一级</v>
      </c>
    </row>
    <row r="841" customHeight="1" spans="1:7">
      <c r="A841" s="3" t="str">
        <f>"839"</f>
        <v>839</v>
      </c>
      <c r="B841" s="3" t="s">
        <v>679</v>
      </c>
      <c r="C841" s="3" t="str">
        <f>"暮云街道"</f>
        <v>暮云街道</v>
      </c>
      <c r="D841" s="3" t="str">
        <f>"高云社区"</f>
        <v>高云社区</v>
      </c>
      <c r="E841" s="3" t="str">
        <f t="shared" si="276"/>
        <v>140</v>
      </c>
      <c r="F841" s="3" t="str">
        <f t="shared" si="272"/>
        <v>100</v>
      </c>
      <c r="G841" s="3" t="str">
        <f t="shared" ref="G841:G847" si="279">"二级"</f>
        <v>二级</v>
      </c>
    </row>
    <row r="842" customHeight="1" spans="1:7">
      <c r="A842" s="3" t="str">
        <f>"840"</f>
        <v>840</v>
      </c>
      <c r="B842" s="3" t="s">
        <v>235</v>
      </c>
      <c r="C842" s="3" t="str">
        <f>"南托街道"</f>
        <v>南托街道</v>
      </c>
      <c r="D842" s="3" t="str">
        <f>"滨洲新村"</f>
        <v>滨洲新村</v>
      </c>
      <c r="E842" s="3" t="str">
        <f t="shared" si="276"/>
        <v>140</v>
      </c>
      <c r="F842" s="3" t="str">
        <f t="shared" si="272"/>
        <v>100</v>
      </c>
      <c r="G842" s="3" t="str">
        <f t="shared" si="279"/>
        <v>二级</v>
      </c>
    </row>
    <row r="843" customHeight="1" spans="1:7">
      <c r="A843" s="3" t="str">
        <f>"841"</f>
        <v>841</v>
      </c>
      <c r="B843" s="3" t="s">
        <v>267</v>
      </c>
      <c r="C843" s="3" t="str">
        <f>"南托街道"</f>
        <v>南托街道</v>
      </c>
      <c r="D843" s="3" t="str">
        <f>"南托岭社区"</f>
        <v>南托岭社区</v>
      </c>
      <c r="E843" s="3" t="str">
        <f t="shared" si="276"/>
        <v>140</v>
      </c>
      <c r="F843" s="3" t="str">
        <f t="shared" si="272"/>
        <v>100</v>
      </c>
      <c r="G843" s="3" t="str">
        <f t="shared" si="279"/>
        <v>二级</v>
      </c>
    </row>
    <row r="844" customHeight="1" spans="1:7">
      <c r="A844" s="3" t="str">
        <f>"842"</f>
        <v>842</v>
      </c>
      <c r="B844" s="3" t="s">
        <v>680</v>
      </c>
      <c r="C844" s="3" t="str">
        <f>"坡子街街道"</f>
        <v>坡子街街道</v>
      </c>
      <c r="D844" s="3" t="str">
        <f>"文庙坪社区"</f>
        <v>文庙坪社区</v>
      </c>
      <c r="E844" s="3" t="str">
        <f t="shared" si="276"/>
        <v>140</v>
      </c>
      <c r="F844" s="3" t="str">
        <f t="shared" si="272"/>
        <v>100</v>
      </c>
      <c r="G844" s="3" t="str">
        <f t="shared" si="279"/>
        <v>二级</v>
      </c>
    </row>
    <row r="845" customHeight="1" spans="1:7">
      <c r="A845" s="3" t="str">
        <f>"843"</f>
        <v>843</v>
      </c>
      <c r="B845" s="3" t="s">
        <v>125</v>
      </c>
      <c r="C845" s="3" t="str">
        <f>"暮云街道"</f>
        <v>暮云街道</v>
      </c>
      <c r="D845" s="3" t="str">
        <f>"华月湖社区"</f>
        <v>华月湖社区</v>
      </c>
      <c r="E845" s="3" t="str">
        <f t="shared" si="276"/>
        <v>140</v>
      </c>
      <c r="F845" s="3" t="str">
        <f t="shared" si="272"/>
        <v>100</v>
      </c>
      <c r="G845" s="3" t="str">
        <f t="shared" si="279"/>
        <v>二级</v>
      </c>
    </row>
    <row r="846" customHeight="1" spans="1:7">
      <c r="A846" s="3" t="str">
        <f>"844"</f>
        <v>844</v>
      </c>
      <c r="B846" s="3" t="s">
        <v>681</v>
      </c>
      <c r="C846" s="3" t="str">
        <f>"裕南街街道"</f>
        <v>裕南街街道</v>
      </c>
      <c r="D846" s="3" t="str">
        <f>"石子冲社区"</f>
        <v>石子冲社区</v>
      </c>
      <c r="E846" s="3" t="str">
        <f t="shared" si="276"/>
        <v>140</v>
      </c>
      <c r="F846" s="3" t="str">
        <f t="shared" si="272"/>
        <v>100</v>
      </c>
      <c r="G846" s="3" t="str">
        <f t="shared" si="279"/>
        <v>二级</v>
      </c>
    </row>
    <row r="847" customHeight="1" spans="1:7">
      <c r="A847" s="3" t="str">
        <f>"845"</f>
        <v>845</v>
      </c>
      <c r="B847" s="3" t="s">
        <v>682</v>
      </c>
      <c r="C847" s="3" t="str">
        <f>"新开铺街道"</f>
        <v>新开铺街道</v>
      </c>
      <c r="D847" s="3" t="str">
        <f>"新天社区"</f>
        <v>新天社区</v>
      </c>
      <c r="E847" s="3" t="str">
        <f t="shared" si="276"/>
        <v>140</v>
      </c>
      <c r="F847" s="3" t="str">
        <f t="shared" si="272"/>
        <v>100</v>
      </c>
      <c r="G847" s="3" t="str">
        <f t="shared" si="279"/>
        <v>二级</v>
      </c>
    </row>
    <row r="848" customHeight="1" spans="1:7">
      <c r="A848" s="3" t="str">
        <f>"846"</f>
        <v>846</v>
      </c>
      <c r="B848" s="3" t="s">
        <v>683</v>
      </c>
      <c r="C848" s="3" t="str">
        <f t="shared" ref="C848:C850" si="280">"南托街道"</f>
        <v>南托街道</v>
      </c>
      <c r="D848" s="3" t="str">
        <f>"牛角塘村"</f>
        <v>牛角塘村</v>
      </c>
      <c r="E848" s="3" t="str">
        <f t="shared" si="276"/>
        <v>140</v>
      </c>
      <c r="F848" s="3" t="str">
        <f t="shared" si="272"/>
        <v>100</v>
      </c>
      <c r="G848" s="3" t="str">
        <f t="shared" ref="G848:G853" si="281">"一级"</f>
        <v>一级</v>
      </c>
    </row>
    <row r="849" customHeight="1" spans="1:7">
      <c r="A849" s="3" t="str">
        <f>"847"</f>
        <v>847</v>
      </c>
      <c r="B849" s="3" t="s">
        <v>684</v>
      </c>
      <c r="C849" s="3" t="str">
        <f t="shared" si="280"/>
        <v>南托街道</v>
      </c>
      <c r="D849" s="3" t="str">
        <f>"沿江村"</f>
        <v>沿江村</v>
      </c>
      <c r="E849" s="3" t="str">
        <f t="shared" si="276"/>
        <v>140</v>
      </c>
      <c r="F849" s="3" t="str">
        <f t="shared" si="272"/>
        <v>100</v>
      </c>
      <c r="G849" s="3" t="str">
        <f>"二级"</f>
        <v>二级</v>
      </c>
    </row>
    <row r="850" customHeight="1" spans="1:7">
      <c r="A850" s="3" t="str">
        <f>"848"</f>
        <v>848</v>
      </c>
      <c r="B850" s="3" t="s">
        <v>685</v>
      </c>
      <c r="C850" s="3" t="str">
        <f t="shared" si="280"/>
        <v>南托街道</v>
      </c>
      <c r="D850" s="3" t="str">
        <f>"滨洲新村"</f>
        <v>滨洲新村</v>
      </c>
      <c r="E850" s="3" t="str">
        <f t="shared" si="276"/>
        <v>140</v>
      </c>
      <c r="F850" s="3" t="str">
        <f t="shared" si="272"/>
        <v>100</v>
      </c>
      <c r="G850" s="3" t="str">
        <f t="shared" si="281"/>
        <v>一级</v>
      </c>
    </row>
    <row r="851" customHeight="1" spans="1:7">
      <c r="A851" s="3" t="str">
        <f>"849"</f>
        <v>849</v>
      </c>
      <c r="B851" s="3" t="s">
        <v>129</v>
      </c>
      <c r="C851" s="3" t="str">
        <f>"暮云街道"</f>
        <v>暮云街道</v>
      </c>
      <c r="D851" s="3" t="str">
        <f>"莲华村"</f>
        <v>莲华村</v>
      </c>
      <c r="E851" s="3" t="str">
        <f t="shared" si="276"/>
        <v>140</v>
      </c>
      <c r="F851" s="3" t="str">
        <f t="shared" si="272"/>
        <v>100</v>
      </c>
      <c r="G851" s="3" t="str">
        <f t="shared" si="281"/>
        <v>一级</v>
      </c>
    </row>
    <row r="852" customHeight="1" spans="1:7">
      <c r="A852" s="3" t="str">
        <f>"850"</f>
        <v>850</v>
      </c>
      <c r="B852" s="3" t="s">
        <v>686</v>
      </c>
      <c r="C852" s="3" t="str">
        <f t="shared" ref="C852:C855" si="282">"南托街道"</f>
        <v>南托街道</v>
      </c>
      <c r="D852" s="3" t="str">
        <f>"滨洲新村"</f>
        <v>滨洲新村</v>
      </c>
      <c r="E852" s="3" t="str">
        <f t="shared" si="276"/>
        <v>140</v>
      </c>
      <c r="F852" s="3" t="str">
        <f t="shared" si="272"/>
        <v>100</v>
      </c>
      <c r="G852" s="3" t="str">
        <f t="shared" si="281"/>
        <v>一级</v>
      </c>
    </row>
    <row r="853" customHeight="1" spans="1:7">
      <c r="A853" s="3" t="str">
        <f>"851"</f>
        <v>851</v>
      </c>
      <c r="B853" s="3" t="s">
        <v>293</v>
      </c>
      <c r="C853" s="3" t="str">
        <f t="shared" si="282"/>
        <v>南托街道</v>
      </c>
      <c r="D853" s="3" t="str">
        <f>"牛角塘村"</f>
        <v>牛角塘村</v>
      </c>
      <c r="E853" s="3" t="str">
        <f t="shared" si="276"/>
        <v>140</v>
      </c>
      <c r="F853" s="3" t="str">
        <f t="shared" si="272"/>
        <v>100</v>
      </c>
      <c r="G853" s="3" t="str">
        <f t="shared" si="281"/>
        <v>一级</v>
      </c>
    </row>
    <row r="854" customHeight="1" spans="1:7">
      <c r="A854" s="3" t="str">
        <f>"852"</f>
        <v>852</v>
      </c>
      <c r="B854" s="3" t="s">
        <v>687</v>
      </c>
      <c r="C854" s="3" t="str">
        <f t="shared" si="282"/>
        <v>南托街道</v>
      </c>
      <c r="D854" s="3" t="str">
        <f>"融城社区"</f>
        <v>融城社区</v>
      </c>
      <c r="E854" s="3" t="str">
        <f t="shared" si="276"/>
        <v>140</v>
      </c>
      <c r="F854" s="3" t="str">
        <f t="shared" si="272"/>
        <v>100</v>
      </c>
      <c r="G854" s="3" t="str">
        <f t="shared" ref="G854:G860" si="283">"二级"</f>
        <v>二级</v>
      </c>
    </row>
    <row r="855" customHeight="1" spans="1:7">
      <c r="A855" s="3" t="str">
        <f>"853"</f>
        <v>853</v>
      </c>
      <c r="B855" s="3" t="s">
        <v>688</v>
      </c>
      <c r="C855" s="3" t="str">
        <f t="shared" si="282"/>
        <v>南托街道</v>
      </c>
      <c r="D855" s="3" t="str">
        <f>"沿江村"</f>
        <v>沿江村</v>
      </c>
      <c r="E855" s="3" t="str">
        <f t="shared" si="276"/>
        <v>140</v>
      </c>
      <c r="F855" s="3" t="str">
        <f t="shared" si="272"/>
        <v>100</v>
      </c>
      <c r="G855" s="3" t="str">
        <f>"一级"</f>
        <v>一级</v>
      </c>
    </row>
    <row r="856" customHeight="1" spans="1:7">
      <c r="A856" s="3" t="str">
        <f>"854"</f>
        <v>854</v>
      </c>
      <c r="B856" s="3" t="s">
        <v>689</v>
      </c>
      <c r="C856" s="3" t="str">
        <f t="shared" ref="C856:C860" si="284">"暮云街道"</f>
        <v>暮云街道</v>
      </c>
      <c r="D856" s="3" t="str">
        <f>"暮云新村"</f>
        <v>暮云新村</v>
      </c>
      <c r="E856" s="3" t="str">
        <f t="shared" si="276"/>
        <v>140</v>
      </c>
      <c r="F856" s="3" t="str">
        <f t="shared" si="272"/>
        <v>100</v>
      </c>
      <c r="G856" s="3" t="str">
        <f t="shared" si="283"/>
        <v>二级</v>
      </c>
    </row>
    <row r="857" customHeight="1" spans="1:7">
      <c r="A857" s="3" t="str">
        <f>"855"</f>
        <v>855</v>
      </c>
      <c r="B857" s="3" t="s">
        <v>690</v>
      </c>
      <c r="C857" s="3" t="str">
        <f t="shared" si="284"/>
        <v>暮云街道</v>
      </c>
      <c r="D857" s="3" t="str">
        <f>"高云社区"</f>
        <v>高云社区</v>
      </c>
      <c r="E857" s="3" t="str">
        <f t="shared" si="276"/>
        <v>140</v>
      </c>
      <c r="F857" s="3" t="str">
        <f t="shared" si="272"/>
        <v>100</v>
      </c>
      <c r="G857" s="3" t="str">
        <f>"一级"</f>
        <v>一级</v>
      </c>
    </row>
    <row r="858" customHeight="1" spans="1:7">
      <c r="A858" s="3" t="str">
        <f>"856"</f>
        <v>856</v>
      </c>
      <c r="B858" s="3" t="s">
        <v>691</v>
      </c>
      <c r="C858" s="3" t="str">
        <f>"文源街道"</f>
        <v>文源街道</v>
      </c>
      <c r="D858" s="3" t="str">
        <f>"金汇社区"</f>
        <v>金汇社区</v>
      </c>
      <c r="E858" s="3" t="str">
        <f t="shared" si="276"/>
        <v>140</v>
      </c>
      <c r="F858" s="3" t="str">
        <f t="shared" si="272"/>
        <v>100</v>
      </c>
      <c r="G858" s="3" t="str">
        <f t="shared" si="283"/>
        <v>二级</v>
      </c>
    </row>
    <row r="859" customHeight="1" spans="1:7">
      <c r="A859" s="3" t="str">
        <f>"857"</f>
        <v>857</v>
      </c>
      <c r="B859" s="3" t="s">
        <v>692</v>
      </c>
      <c r="C859" s="3" t="str">
        <f>"裕南街街道"</f>
        <v>裕南街街道</v>
      </c>
      <c r="D859" s="3" t="str">
        <f>"向东南社区"</f>
        <v>向东南社区</v>
      </c>
      <c r="E859" s="3" t="str">
        <f t="shared" si="276"/>
        <v>140</v>
      </c>
      <c r="F859" s="3" t="str">
        <f t="shared" si="272"/>
        <v>100</v>
      </c>
      <c r="G859" s="3" t="str">
        <f t="shared" si="283"/>
        <v>二级</v>
      </c>
    </row>
    <row r="860" customHeight="1" spans="1:7">
      <c r="A860" s="3" t="str">
        <f>"858"</f>
        <v>858</v>
      </c>
      <c r="B860" s="3" t="s">
        <v>70</v>
      </c>
      <c r="C860" s="3" t="str">
        <f t="shared" si="284"/>
        <v>暮云街道</v>
      </c>
      <c r="D860" s="3" t="str">
        <f>"暮云新村"</f>
        <v>暮云新村</v>
      </c>
      <c r="E860" s="3" t="str">
        <f t="shared" si="276"/>
        <v>140</v>
      </c>
      <c r="F860" s="3" t="str">
        <f t="shared" si="272"/>
        <v>100</v>
      </c>
      <c r="G860" s="3" t="str">
        <f t="shared" si="283"/>
        <v>二级</v>
      </c>
    </row>
    <row r="861" customHeight="1" spans="1:7">
      <c r="A861" s="3" t="str">
        <f>"859"</f>
        <v>859</v>
      </c>
      <c r="B861" s="3" t="s">
        <v>693</v>
      </c>
      <c r="C861" s="3" t="str">
        <f>"文源街道"</f>
        <v>文源街道</v>
      </c>
      <c r="D861" s="3" t="str">
        <f>"梅岭社区"</f>
        <v>梅岭社区</v>
      </c>
      <c r="E861" s="3" t="str">
        <f t="shared" si="276"/>
        <v>140</v>
      </c>
      <c r="F861" s="3" t="str">
        <f t="shared" si="272"/>
        <v>100</v>
      </c>
      <c r="G861" s="3" t="str">
        <f t="shared" ref="G861:G866" si="285">"一级"</f>
        <v>一级</v>
      </c>
    </row>
    <row r="862" customHeight="1" spans="1:7">
      <c r="A862" s="3" t="str">
        <f>"860"</f>
        <v>860</v>
      </c>
      <c r="B862" s="3" t="s">
        <v>694</v>
      </c>
      <c r="C862" s="3" t="str">
        <f>"新开铺街道"</f>
        <v>新开铺街道</v>
      </c>
      <c r="D862" s="3" t="str">
        <f>"豹子岭社区"</f>
        <v>豹子岭社区</v>
      </c>
      <c r="E862" s="3" t="str">
        <f t="shared" si="276"/>
        <v>140</v>
      </c>
      <c r="F862" s="3" t="str">
        <f t="shared" si="272"/>
        <v>100</v>
      </c>
      <c r="G862" s="3" t="str">
        <f t="shared" ref="G862:G867" si="286">"二级"</f>
        <v>二级</v>
      </c>
    </row>
    <row r="863" customHeight="1" spans="1:7">
      <c r="A863" s="3" t="str">
        <f>"861"</f>
        <v>861</v>
      </c>
      <c r="B863" s="3" t="s">
        <v>695</v>
      </c>
      <c r="C863" s="3" t="str">
        <f>"暮云街道"</f>
        <v>暮云街道</v>
      </c>
      <c r="D863" s="3" t="str">
        <f>"暮云新村"</f>
        <v>暮云新村</v>
      </c>
      <c r="E863" s="3" t="str">
        <f t="shared" si="276"/>
        <v>140</v>
      </c>
      <c r="F863" s="3" t="str">
        <f t="shared" si="272"/>
        <v>100</v>
      </c>
      <c r="G863" s="3" t="str">
        <f t="shared" si="286"/>
        <v>二级</v>
      </c>
    </row>
    <row r="864" customHeight="1" spans="1:7">
      <c r="A864" s="3" t="str">
        <f>"862"</f>
        <v>862</v>
      </c>
      <c r="B864" s="3" t="s">
        <v>696</v>
      </c>
      <c r="C864" s="3" t="str">
        <f>"南托街道"</f>
        <v>南托街道</v>
      </c>
      <c r="D864" s="3" t="str">
        <f>"牛角塘村"</f>
        <v>牛角塘村</v>
      </c>
      <c r="E864" s="3" t="str">
        <f t="shared" si="276"/>
        <v>140</v>
      </c>
      <c r="F864" s="3" t="str">
        <f t="shared" si="272"/>
        <v>100</v>
      </c>
      <c r="G864" s="3" t="str">
        <f t="shared" si="285"/>
        <v>一级</v>
      </c>
    </row>
    <row r="865" customHeight="1" spans="1:7">
      <c r="A865" s="3" t="str">
        <f>"863"</f>
        <v>863</v>
      </c>
      <c r="B865" s="3" t="s">
        <v>697</v>
      </c>
      <c r="C865" s="3" t="str">
        <f>"南托街道"</f>
        <v>南托街道</v>
      </c>
      <c r="D865" s="3" t="str">
        <f>"牛角塘村"</f>
        <v>牛角塘村</v>
      </c>
      <c r="E865" s="3" t="str">
        <f t="shared" si="276"/>
        <v>140</v>
      </c>
      <c r="F865" s="3" t="str">
        <f t="shared" si="272"/>
        <v>100</v>
      </c>
      <c r="G865" s="3" t="str">
        <f t="shared" si="285"/>
        <v>一级</v>
      </c>
    </row>
    <row r="866" customHeight="1" spans="1:7">
      <c r="A866" s="3" t="str">
        <f>"864"</f>
        <v>864</v>
      </c>
      <c r="B866" s="3" t="s">
        <v>698</v>
      </c>
      <c r="C866" s="3" t="str">
        <f>"暮云街道"</f>
        <v>暮云街道</v>
      </c>
      <c r="D866" s="3" t="str">
        <f>"许兴村"</f>
        <v>许兴村</v>
      </c>
      <c r="E866" s="3" t="str">
        <f t="shared" si="276"/>
        <v>140</v>
      </c>
      <c r="F866" s="3" t="str">
        <f t="shared" si="272"/>
        <v>100</v>
      </c>
      <c r="G866" s="3" t="str">
        <f t="shared" si="285"/>
        <v>一级</v>
      </c>
    </row>
    <row r="867" customHeight="1" spans="1:7">
      <c r="A867" s="3" t="str">
        <f>"865"</f>
        <v>865</v>
      </c>
      <c r="B867" s="3" t="s">
        <v>699</v>
      </c>
      <c r="C867" s="3" t="str">
        <f>"城南路街道"</f>
        <v>城南路街道</v>
      </c>
      <c r="D867" s="3" t="str">
        <f>"吴家坪社区"</f>
        <v>吴家坪社区</v>
      </c>
      <c r="E867" s="3" t="str">
        <f t="shared" si="276"/>
        <v>140</v>
      </c>
      <c r="F867" s="3" t="str">
        <f t="shared" si="272"/>
        <v>100</v>
      </c>
      <c r="G867" s="3" t="str">
        <f t="shared" si="286"/>
        <v>二级</v>
      </c>
    </row>
    <row r="868" customHeight="1" spans="1:7">
      <c r="A868" s="3" t="str">
        <f>"866"</f>
        <v>866</v>
      </c>
      <c r="B868" s="3" t="s">
        <v>700</v>
      </c>
      <c r="C868" s="3" t="str">
        <f>"先锋街道"</f>
        <v>先锋街道</v>
      </c>
      <c r="D868" s="3" t="str">
        <f>"尚双塘社区"</f>
        <v>尚双塘社区</v>
      </c>
      <c r="E868" s="3" t="str">
        <f t="shared" si="276"/>
        <v>140</v>
      </c>
      <c r="F868" s="3" t="str">
        <f t="shared" si="272"/>
        <v>100</v>
      </c>
      <c r="G868" s="3" t="str">
        <f t="shared" ref="G868:G873" si="287">"一级"</f>
        <v>一级</v>
      </c>
    </row>
    <row r="869" customHeight="1" spans="1:7">
      <c r="A869" s="3" t="str">
        <f>"867"</f>
        <v>867</v>
      </c>
      <c r="B869" s="3" t="s">
        <v>331</v>
      </c>
      <c r="C869" s="3" t="str">
        <f t="shared" ref="C869:C874" si="288">"裕南街街道"</f>
        <v>裕南街街道</v>
      </c>
      <c r="D869" s="3" t="str">
        <f>"向东南社区"</f>
        <v>向东南社区</v>
      </c>
      <c r="E869" s="3" t="str">
        <f t="shared" si="276"/>
        <v>140</v>
      </c>
      <c r="F869" s="3" t="str">
        <f t="shared" si="272"/>
        <v>100</v>
      </c>
      <c r="G869" s="3" t="str">
        <f>"二级"</f>
        <v>二级</v>
      </c>
    </row>
    <row r="870" customHeight="1" spans="1:7">
      <c r="A870" s="3" t="str">
        <f>"868"</f>
        <v>868</v>
      </c>
      <c r="B870" s="3" t="s">
        <v>267</v>
      </c>
      <c r="C870" s="3" t="str">
        <f>"桂花坪街道"</f>
        <v>桂花坪街道</v>
      </c>
      <c r="D870" s="3" t="str">
        <f>"银桂苑社区"</f>
        <v>银桂苑社区</v>
      </c>
      <c r="E870" s="3" t="str">
        <f t="shared" si="276"/>
        <v>140</v>
      </c>
      <c r="F870" s="3" t="str">
        <f t="shared" si="272"/>
        <v>100</v>
      </c>
      <c r="G870" s="3" t="str">
        <f t="shared" si="287"/>
        <v>一级</v>
      </c>
    </row>
    <row r="871" customHeight="1" spans="1:7">
      <c r="A871" s="3" t="str">
        <f>"869"</f>
        <v>869</v>
      </c>
      <c r="B871" s="3" t="s">
        <v>80</v>
      </c>
      <c r="C871" s="3" t="str">
        <f>"金盆岭街道"</f>
        <v>金盆岭街道</v>
      </c>
      <c r="D871" s="3" t="str">
        <f>"涂新社区"</f>
        <v>涂新社区</v>
      </c>
      <c r="E871" s="3" t="str">
        <f t="shared" si="276"/>
        <v>140</v>
      </c>
      <c r="F871" s="3" t="str">
        <f t="shared" si="272"/>
        <v>100</v>
      </c>
      <c r="G871" s="3" t="str">
        <f t="shared" si="287"/>
        <v>一级</v>
      </c>
    </row>
    <row r="872" customHeight="1" spans="1:7">
      <c r="A872" s="3" t="str">
        <f>"870"</f>
        <v>870</v>
      </c>
      <c r="B872" s="3" t="s">
        <v>335</v>
      </c>
      <c r="C872" s="3" t="str">
        <f t="shared" si="288"/>
        <v>裕南街街道</v>
      </c>
      <c r="D872" s="3" t="str">
        <f>"宝塔山社区"</f>
        <v>宝塔山社区</v>
      </c>
      <c r="E872" s="3" t="str">
        <f t="shared" si="276"/>
        <v>140</v>
      </c>
      <c r="F872" s="3" t="str">
        <f t="shared" si="272"/>
        <v>100</v>
      </c>
      <c r="G872" s="3" t="str">
        <f t="shared" si="287"/>
        <v>一级</v>
      </c>
    </row>
    <row r="873" customHeight="1" spans="1:7">
      <c r="A873" s="3" t="str">
        <f>"871"</f>
        <v>871</v>
      </c>
      <c r="B873" s="3" t="s">
        <v>701</v>
      </c>
      <c r="C873" s="3" t="str">
        <f>"暮云街道"</f>
        <v>暮云街道</v>
      </c>
      <c r="D873" s="3" t="str">
        <f>"云塘社区"</f>
        <v>云塘社区</v>
      </c>
      <c r="E873" s="3" t="str">
        <f t="shared" si="276"/>
        <v>140</v>
      </c>
      <c r="F873" s="3" t="str">
        <f t="shared" si="272"/>
        <v>100</v>
      </c>
      <c r="G873" s="3" t="str">
        <f t="shared" si="287"/>
        <v>一级</v>
      </c>
    </row>
    <row r="874" customHeight="1" spans="1:7">
      <c r="A874" s="3" t="str">
        <f>"872"</f>
        <v>872</v>
      </c>
      <c r="B874" s="3" t="s">
        <v>702</v>
      </c>
      <c r="C874" s="3" t="str">
        <f t="shared" si="288"/>
        <v>裕南街街道</v>
      </c>
      <c r="D874" s="3" t="str">
        <f>"东瓜山社区"</f>
        <v>东瓜山社区</v>
      </c>
      <c r="E874" s="3" t="str">
        <f t="shared" si="276"/>
        <v>140</v>
      </c>
      <c r="F874" s="3" t="str">
        <f t="shared" si="272"/>
        <v>100</v>
      </c>
      <c r="G874" s="3" t="str">
        <f t="shared" ref="G874:G878" si="289">"二级"</f>
        <v>二级</v>
      </c>
    </row>
    <row r="875" customHeight="1" spans="1:7">
      <c r="A875" s="3" t="str">
        <f>"873"</f>
        <v>873</v>
      </c>
      <c r="B875" s="3" t="s">
        <v>703</v>
      </c>
      <c r="C875" s="3" t="str">
        <f>"坡子街街道"</f>
        <v>坡子街街道</v>
      </c>
      <c r="D875" s="3" t="str">
        <f>"楚湘社区"</f>
        <v>楚湘社区</v>
      </c>
      <c r="E875" s="3" t="str">
        <f t="shared" si="276"/>
        <v>140</v>
      </c>
      <c r="F875" s="3" t="str">
        <f t="shared" si="272"/>
        <v>100</v>
      </c>
      <c r="G875" s="3" t="str">
        <f t="shared" si="289"/>
        <v>二级</v>
      </c>
    </row>
    <row r="876" customHeight="1" spans="1:7">
      <c r="A876" s="3" t="str">
        <f>"874"</f>
        <v>874</v>
      </c>
      <c r="B876" s="3" t="s">
        <v>68</v>
      </c>
      <c r="C876" s="3" t="str">
        <f>"青园街道"</f>
        <v>青园街道</v>
      </c>
      <c r="D876" s="3" t="str">
        <f>"友谊社区"</f>
        <v>友谊社区</v>
      </c>
      <c r="E876" s="3" t="str">
        <f t="shared" si="276"/>
        <v>140</v>
      </c>
      <c r="F876" s="3" t="str">
        <f t="shared" si="272"/>
        <v>100</v>
      </c>
      <c r="G876" s="3" t="str">
        <f>"一级"</f>
        <v>一级</v>
      </c>
    </row>
    <row r="877" customHeight="1" spans="1:7">
      <c r="A877" s="3" t="str">
        <f>"875"</f>
        <v>875</v>
      </c>
      <c r="B877" s="3" t="s">
        <v>63</v>
      </c>
      <c r="C877" s="3" t="str">
        <f t="shared" ref="C877:C882" si="290">"裕南街街道"</f>
        <v>裕南街街道</v>
      </c>
      <c r="D877" s="3" t="str">
        <f>"火把山社区"</f>
        <v>火把山社区</v>
      </c>
      <c r="E877" s="3" t="str">
        <f t="shared" si="276"/>
        <v>140</v>
      </c>
      <c r="F877" s="3" t="str">
        <f t="shared" si="272"/>
        <v>100</v>
      </c>
      <c r="G877" s="3" t="str">
        <f t="shared" si="289"/>
        <v>二级</v>
      </c>
    </row>
    <row r="878" customHeight="1" spans="1:7">
      <c r="A878" s="3" t="str">
        <f>"876"</f>
        <v>876</v>
      </c>
      <c r="B878" s="3" t="s">
        <v>704</v>
      </c>
      <c r="C878" s="3" t="str">
        <f>"南托街道"</f>
        <v>南托街道</v>
      </c>
      <c r="D878" s="3" t="str">
        <f>"南托岭社区"</f>
        <v>南托岭社区</v>
      </c>
      <c r="E878" s="3" t="str">
        <f t="shared" si="276"/>
        <v>140</v>
      </c>
      <c r="F878" s="3" t="str">
        <f t="shared" si="272"/>
        <v>100</v>
      </c>
      <c r="G878" s="3" t="str">
        <f t="shared" si="289"/>
        <v>二级</v>
      </c>
    </row>
    <row r="879" customHeight="1" spans="1:7">
      <c r="A879" s="3" t="str">
        <f>"877"</f>
        <v>877</v>
      </c>
      <c r="B879" s="3" t="s">
        <v>705</v>
      </c>
      <c r="C879" s="3" t="str">
        <f>"坡子街街道"</f>
        <v>坡子街街道</v>
      </c>
      <c r="D879" s="3" t="str">
        <f>"碧湘社区"</f>
        <v>碧湘社区</v>
      </c>
      <c r="E879" s="3" t="str">
        <f t="shared" si="276"/>
        <v>140</v>
      </c>
      <c r="F879" s="3" t="str">
        <f t="shared" si="272"/>
        <v>100</v>
      </c>
      <c r="G879" s="3" t="str">
        <f>"一级"</f>
        <v>一级</v>
      </c>
    </row>
    <row r="880" customHeight="1" spans="1:7">
      <c r="A880" s="3" t="str">
        <f>"878"</f>
        <v>878</v>
      </c>
      <c r="B880" s="3" t="s">
        <v>706</v>
      </c>
      <c r="C880" s="3" t="str">
        <f t="shared" si="290"/>
        <v>裕南街街道</v>
      </c>
      <c r="D880" s="3" t="str">
        <f>"火把山社区"</f>
        <v>火把山社区</v>
      </c>
      <c r="E880" s="3" t="str">
        <f t="shared" si="276"/>
        <v>140</v>
      </c>
      <c r="F880" s="3" t="str">
        <f t="shared" si="272"/>
        <v>100</v>
      </c>
      <c r="G880" s="3" t="str">
        <f t="shared" ref="G880:G888" si="291">"二级"</f>
        <v>二级</v>
      </c>
    </row>
    <row r="881" customHeight="1" spans="1:7">
      <c r="A881" s="3" t="str">
        <f>"879"</f>
        <v>879</v>
      </c>
      <c r="B881" s="3" t="s">
        <v>707</v>
      </c>
      <c r="C881" s="3" t="str">
        <f>"赤岭路街道"</f>
        <v>赤岭路街道</v>
      </c>
      <c r="D881" s="3" t="str">
        <f>"广厦新村社区"</f>
        <v>广厦新村社区</v>
      </c>
      <c r="E881" s="3" t="str">
        <f t="shared" si="276"/>
        <v>140</v>
      </c>
      <c r="F881" s="3" t="str">
        <f t="shared" si="272"/>
        <v>100</v>
      </c>
      <c r="G881" s="3" t="str">
        <f t="shared" si="291"/>
        <v>二级</v>
      </c>
    </row>
    <row r="882" customHeight="1" spans="1:7">
      <c r="A882" s="3" t="str">
        <f>"880"</f>
        <v>880</v>
      </c>
      <c r="B882" s="3" t="s">
        <v>708</v>
      </c>
      <c r="C882" s="3" t="str">
        <f t="shared" si="290"/>
        <v>裕南街街道</v>
      </c>
      <c r="D882" s="3" t="str">
        <f>"南站社区"</f>
        <v>南站社区</v>
      </c>
      <c r="E882" s="3" t="str">
        <f t="shared" si="276"/>
        <v>140</v>
      </c>
      <c r="F882" s="3" t="str">
        <f t="shared" si="272"/>
        <v>100</v>
      </c>
      <c r="G882" s="3" t="str">
        <f t="shared" si="291"/>
        <v>二级</v>
      </c>
    </row>
    <row r="883" customHeight="1" spans="1:7">
      <c r="A883" s="3" t="str">
        <f>"881"</f>
        <v>881</v>
      </c>
      <c r="B883" s="3" t="s">
        <v>287</v>
      </c>
      <c r="C883" s="3" t="str">
        <f>"桂花坪街道"</f>
        <v>桂花坪街道</v>
      </c>
      <c r="D883" s="3" t="str">
        <f>"九峰苑社区"</f>
        <v>九峰苑社区</v>
      </c>
      <c r="E883" s="3" t="str">
        <f t="shared" si="276"/>
        <v>140</v>
      </c>
      <c r="F883" s="3" t="str">
        <f t="shared" si="272"/>
        <v>100</v>
      </c>
      <c r="G883" s="3" t="str">
        <f t="shared" si="291"/>
        <v>二级</v>
      </c>
    </row>
    <row r="884" customHeight="1" spans="1:7">
      <c r="A884" s="3" t="str">
        <f>"882"</f>
        <v>882</v>
      </c>
      <c r="B884" s="3" t="s">
        <v>709</v>
      </c>
      <c r="C884" s="3" t="str">
        <f>"暮云街道"</f>
        <v>暮云街道</v>
      </c>
      <c r="D884" s="3" t="str">
        <f>"许兴村"</f>
        <v>许兴村</v>
      </c>
      <c r="E884" s="3" t="str">
        <f t="shared" si="276"/>
        <v>140</v>
      </c>
      <c r="F884" s="3" t="str">
        <f t="shared" ref="F884:F947" si="292">"100"</f>
        <v>100</v>
      </c>
      <c r="G884" s="3" t="str">
        <f t="shared" si="291"/>
        <v>二级</v>
      </c>
    </row>
    <row r="885" customHeight="1" spans="1:7">
      <c r="A885" s="3" t="str">
        <f>"883"</f>
        <v>883</v>
      </c>
      <c r="B885" s="3" t="s">
        <v>710</v>
      </c>
      <c r="C885" s="3" t="str">
        <f>"裕南街街道"</f>
        <v>裕南街街道</v>
      </c>
      <c r="D885" s="3" t="str">
        <f>"向东南社区"</f>
        <v>向东南社区</v>
      </c>
      <c r="E885" s="3" t="str">
        <f t="shared" si="276"/>
        <v>140</v>
      </c>
      <c r="F885" s="3" t="str">
        <f t="shared" si="292"/>
        <v>100</v>
      </c>
      <c r="G885" s="3" t="str">
        <f t="shared" si="291"/>
        <v>二级</v>
      </c>
    </row>
    <row r="886" customHeight="1" spans="1:7">
      <c r="A886" s="3" t="str">
        <f>"884"</f>
        <v>884</v>
      </c>
      <c r="B886" s="3" t="s">
        <v>711</v>
      </c>
      <c r="C886" s="3" t="str">
        <f t="shared" ref="C886:C888" si="293">"坡子街街道"</f>
        <v>坡子街街道</v>
      </c>
      <c r="D886" s="3" t="str">
        <f>"登仁桥社区"</f>
        <v>登仁桥社区</v>
      </c>
      <c r="E886" s="3" t="str">
        <f t="shared" si="276"/>
        <v>140</v>
      </c>
      <c r="F886" s="3" t="str">
        <f t="shared" si="292"/>
        <v>100</v>
      </c>
      <c r="G886" s="3" t="str">
        <f t="shared" si="291"/>
        <v>二级</v>
      </c>
    </row>
    <row r="887" customHeight="1" spans="1:7">
      <c r="A887" s="3" t="str">
        <f>"885"</f>
        <v>885</v>
      </c>
      <c r="B887" s="3" t="s">
        <v>712</v>
      </c>
      <c r="C887" s="3" t="str">
        <f t="shared" si="293"/>
        <v>坡子街街道</v>
      </c>
      <c r="D887" s="3" t="str">
        <f>"文庙坪社区"</f>
        <v>文庙坪社区</v>
      </c>
      <c r="E887" s="3" t="str">
        <f t="shared" si="276"/>
        <v>140</v>
      </c>
      <c r="F887" s="3" t="str">
        <f t="shared" si="292"/>
        <v>100</v>
      </c>
      <c r="G887" s="3" t="str">
        <f t="shared" si="291"/>
        <v>二级</v>
      </c>
    </row>
    <row r="888" customHeight="1" spans="1:7">
      <c r="A888" s="3" t="str">
        <f>"886"</f>
        <v>886</v>
      </c>
      <c r="B888" s="3" t="s">
        <v>713</v>
      </c>
      <c r="C888" s="3" t="str">
        <f t="shared" si="293"/>
        <v>坡子街街道</v>
      </c>
      <c r="D888" s="3" t="str">
        <f>"登仁桥社区"</f>
        <v>登仁桥社区</v>
      </c>
      <c r="E888" s="3" t="str">
        <f t="shared" si="276"/>
        <v>140</v>
      </c>
      <c r="F888" s="3" t="str">
        <f t="shared" si="292"/>
        <v>100</v>
      </c>
      <c r="G888" s="3" t="str">
        <f t="shared" si="291"/>
        <v>二级</v>
      </c>
    </row>
    <row r="889" customHeight="1" spans="1:7">
      <c r="A889" s="3" t="str">
        <f>"887"</f>
        <v>887</v>
      </c>
      <c r="B889" s="3" t="s">
        <v>714</v>
      </c>
      <c r="C889" s="3" t="str">
        <f>"裕南街街道"</f>
        <v>裕南街街道</v>
      </c>
      <c r="D889" s="3" t="str">
        <f>"向东南社区"</f>
        <v>向东南社区</v>
      </c>
      <c r="E889" s="3" t="str">
        <f t="shared" si="276"/>
        <v>140</v>
      </c>
      <c r="F889" s="3" t="str">
        <f t="shared" si="292"/>
        <v>100</v>
      </c>
      <c r="G889" s="3" t="str">
        <f>"一级"</f>
        <v>一级</v>
      </c>
    </row>
    <row r="890" customHeight="1" spans="1:7">
      <c r="A890" s="3" t="str">
        <f>"888"</f>
        <v>888</v>
      </c>
      <c r="B890" s="3" t="s">
        <v>715</v>
      </c>
      <c r="C890" s="3" t="str">
        <f>"大托铺街道"</f>
        <v>大托铺街道</v>
      </c>
      <c r="D890" s="3" t="str">
        <f>"黄合村委会"</f>
        <v>黄合村委会</v>
      </c>
      <c r="E890" s="3" t="str">
        <f t="shared" si="276"/>
        <v>140</v>
      </c>
      <c r="F890" s="3" t="str">
        <f t="shared" si="292"/>
        <v>100</v>
      </c>
      <c r="G890" s="3" t="str">
        <f>"一级"</f>
        <v>一级</v>
      </c>
    </row>
    <row r="891" customHeight="1" spans="1:7">
      <c r="A891" s="3" t="str">
        <f>"889"</f>
        <v>889</v>
      </c>
      <c r="B891" s="3" t="s">
        <v>484</v>
      </c>
      <c r="C891" s="3" t="str">
        <f>"城南路街道"</f>
        <v>城南路街道</v>
      </c>
      <c r="D891" s="3" t="str">
        <f>"古道巷社区"</f>
        <v>古道巷社区</v>
      </c>
      <c r="E891" s="3" t="str">
        <f t="shared" si="276"/>
        <v>140</v>
      </c>
      <c r="F891" s="3" t="str">
        <f t="shared" si="292"/>
        <v>100</v>
      </c>
      <c r="G891" s="3" t="str">
        <f t="shared" ref="G891:G899" si="294">"二级"</f>
        <v>二级</v>
      </c>
    </row>
    <row r="892" customHeight="1" spans="1:7">
      <c r="A892" s="3" t="str">
        <f>"890"</f>
        <v>890</v>
      </c>
      <c r="B892" s="3" t="s">
        <v>716</v>
      </c>
      <c r="C892" s="3" t="str">
        <f>"金盆岭街道"</f>
        <v>金盆岭街道</v>
      </c>
      <c r="D892" s="3" t="str">
        <f>"狮子山社区"</f>
        <v>狮子山社区</v>
      </c>
      <c r="E892" s="3" t="str">
        <f t="shared" si="276"/>
        <v>140</v>
      </c>
      <c r="F892" s="3" t="str">
        <f t="shared" si="292"/>
        <v>100</v>
      </c>
      <c r="G892" s="3" t="str">
        <f t="shared" si="294"/>
        <v>二级</v>
      </c>
    </row>
    <row r="893" customHeight="1" spans="1:7">
      <c r="A893" s="3" t="str">
        <f>"891"</f>
        <v>891</v>
      </c>
      <c r="B893" s="3" t="s">
        <v>267</v>
      </c>
      <c r="C893" s="3" t="str">
        <f>"裕南街街道"</f>
        <v>裕南街街道</v>
      </c>
      <c r="D893" s="3" t="str">
        <f>"仰天湖社区"</f>
        <v>仰天湖社区</v>
      </c>
      <c r="E893" s="3" t="str">
        <f t="shared" si="276"/>
        <v>140</v>
      </c>
      <c r="F893" s="3" t="str">
        <f t="shared" si="292"/>
        <v>100</v>
      </c>
      <c r="G893" s="3" t="str">
        <f t="shared" si="294"/>
        <v>二级</v>
      </c>
    </row>
    <row r="894" customHeight="1" spans="1:7">
      <c r="A894" s="3" t="str">
        <f>"892"</f>
        <v>892</v>
      </c>
      <c r="B894" s="3" t="s">
        <v>420</v>
      </c>
      <c r="C894" s="3" t="str">
        <f t="shared" ref="C894:C898" si="295">"坡子街街道"</f>
        <v>坡子街街道</v>
      </c>
      <c r="D894" s="3" t="str">
        <f>"西湖社区"</f>
        <v>西湖社区</v>
      </c>
      <c r="E894" s="3" t="str">
        <f t="shared" si="276"/>
        <v>140</v>
      </c>
      <c r="F894" s="3" t="str">
        <f t="shared" si="292"/>
        <v>100</v>
      </c>
      <c r="G894" s="3" t="str">
        <f t="shared" si="294"/>
        <v>二级</v>
      </c>
    </row>
    <row r="895" customHeight="1" spans="1:7">
      <c r="A895" s="3" t="str">
        <f>"893"</f>
        <v>893</v>
      </c>
      <c r="B895" s="3" t="s">
        <v>76</v>
      </c>
      <c r="C895" s="3" t="str">
        <f>"金盆岭街道"</f>
        <v>金盆岭街道</v>
      </c>
      <c r="D895" s="3" t="str">
        <f>"夏家冲社区"</f>
        <v>夏家冲社区</v>
      </c>
      <c r="E895" s="3" t="str">
        <f t="shared" si="276"/>
        <v>140</v>
      </c>
      <c r="F895" s="3" t="str">
        <f t="shared" si="292"/>
        <v>100</v>
      </c>
      <c r="G895" s="3" t="str">
        <f t="shared" si="294"/>
        <v>二级</v>
      </c>
    </row>
    <row r="896" customHeight="1" spans="1:7">
      <c r="A896" s="3" t="str">
        <f>"894"</f>
        <v>894</v>
      </c>
      <c r="B896" s="3" t="s">
        <v>68</v>
      </c>
      <c r="C896" s="3" t="str">
        <f t="shared" si="295"/>
        <v>坡子街街道</v>
      </c>
      <c r="D896" s="3" t="str">
        <f>"创远社区"</f>
        <v>创远社区</v>
      </c>
      <c r="E896" s="3" t="str">
        <f t="shared" si="276"/>
        <v>140</v>
      </c>
      <c r="F896" s="3" t="str">
        <f t="shared" si="292"/>
        <v>100</v>
      </c>
      <c r="G896" s="3" t="str">
        <f t="shared" si="294"/>
        <v>二级</v>
      </c>
    </row>
    <row r="897" customHeight="1" spans="1:7">
      <c r="A897" s="3" t="str">
        <f>"895"</f>
        <v>895</v>
      </c>
      <c r="B897" s="3" t="s">
        <v>139</v>
      </c>
      <c r="C897" s="3" t="str">
        <f>"城南路街道"</f>
        <v>城南路街道</v>
      </c>
      <c r="D897" s="3" t="str">
        <f>"城南中路社区"</f>
        <v>城南中路社区</v>
      </c>
      <c r="E897" s="3" t="str">
        <f t="shared" si="276"/>
        <v>140</v>
      </c>
      <c r="F897" s="3" t="str">
        <f t="shared" si="292"/>
        <v>100</v>
      </c>
      <c r="G897" s="3" t="str">
        <f t="shared" si="294"/>
        <v>二级</v>
      </c>
    </row>
    <row r="898" customHeight="1" spans="1:7">
      <c r="A898" s="3" t="str">
        <f>"896"</f>
        <v>896</v>
      </c>
      <c r="B898" s="3" t="s">
        <v>256</v>
      </c>
      <c r="C898" s="3" t="str">
        <f t="shared" si="295"/>
        <v>坡子街街道</v>
      </c>
      <c r="D898" s="3" t="str">
        <f>"青山祠社区"</f>
        <v>青山祠社区</v>
      </c>
      <c r="E898" s="3" t="str">
        <f t="shared" si="276"/>
        <v>140</v>
      </c>
      <c r="F898" s="3" t="str">
        <f t="shared" si="292"/>
        <v>100</v>
      </c>
      <c r="G898" s="3" t="str">
        <f t="shared" si="294"/>
        <v>二级</v>
      </c>
    </row>
    <row r="899" customHeight="1" spans="1:7">
      <c r="A899" s="3" t="str">
        <f>"897"</f>
        <v>897</v>
      </c>
      <c r="B899" s="3" t="s">
        <v>70</v>
      </c>
      <c r="C899" s="3" t="str">
        <f>"城南路街道"</f>
        <v>城南路街道</v>
      </c>
      <c r="D899" s="3" t="str">
        <f>"燕子岭社区"</f>
        <v>燕子岭社区</v>
      </c>
      <c r="E899" s="3" t="str">
        <f t="shared" ref="E899:E962" si="296">"140"</f>
        <v>140</v>
      </c>
      <c r="F899" s="3" t="str">
        <f t="shared" si="292"/>
        <v>100</v>
      </c>
      <c r="G899" s="3" t="str">
        <f t="shared" si="294"/>
        <v>二级</v>
      </c>
    </row>
    <row r="900" customHeight="1" spans="1:7">
      <c r="A900" s="3" t="str">
        <f>"898"</f>
        <v>898</v>
      </c>
      <c r="B900" s="3" t="s">
        <v>717</v>
      </c>
      <c r="C900" s="3" t="str">
        <f>"裕南街街道"</f>
        <v>裕南街街道</v>
      </c>
      <c r="D900" s="3" t="str">
        <f>"石子冲社区"</f>
        <v>石子冲社区</v>
      </c>
      <c r="E900" s="3" t="str">
        <f t="shared" si="296"/>
        <v>140</v>
      </c>
      <c r="F900" s="3" t="str">
        <f t="shared" si="292"/>
        <v>100</v>
      </c>
      <c r="G900" s="3" t="str">
        <f t="shared" ref="G900:G902" si="297">"一级"</f>
        <v>一级</v>
      </c>
    </row>
    <row r="901" customHeight="1" spans="1:7">
      <c r="A901" s="3" t="str">
        <f>"899"</f>
        <v>899</v>
      </c>
      <c r="B901" s="3" t="s">
        <v>718</v>
      </c>
      <c r="C901" s="3" t="str">
        <f t="shared" ref="C901:C906" si="298">"坡子街街道"</f>
        <v>坡子街街道</v>
      </c>
      <c r="D901" s="3" t="str">
        <f>"登仁桥社区"</f>
        <v>登仁桥社区</v>
      </c>
      <c r="E901" s="3" t="str">
        <f t="shared" si="296"/>
        <v>140</v>
      </c>
      <c r="F901" s="3" t="str">
        <f t="shared" si="292"/>
        <v>100</v>
      </c>
      <c r="G901" s="3" t="str">
        <f t="shared" si="297"/>
        <v>一级</v>
      </c>
    </row>
    <row r="902" customHeight="1" spans="1:7">
      <c r="A902" s="3" t="str">
        <f>"900"</f>
        <v>900</v>
      </c>
      <c r="B902" s="3" t="s">
        <v>719</v>
      </c>
      <c r="C902" s="3" t="str">
        <f>"赤岭路街道"</f>
        <v>赤岭路街道</v>
      </c>
      <c r="D902" s="3" t="str">
        <f>"新丰社区"</f>
        <v>新丰社区</v>
      </c>
      <c r="E902" s="3" t="str">
        <f t="shared" si="296"/>
        <v>140</v>
      </c>
      <c r="F902" s="3" t="str">
        <f t="shared" si="292"/>
        <v>100</v>
      </c>
      <c r="G902" s="3" t="str">
        <f t="shared" si="297"/>
        <v>一级</v>
      </c>
    </row>
    <row r="903" customHeight="1" spans="1:7">
      <c r="A903" s="3" t="str">
        <f>"901"</f>
        <v>901</v>
      </c>
      <c r="B903" s="3" t="s">
        <v>720</v>
      </c>
      <c r="C903" s="3" t="str">
        <f>"裕南街街道"</f>
        <v>裕南街街道</v>
      </c>
      <c r="D903" s="3" t="str">
        <f>"火把山社区"</f>
        <v>火把山社区</v>
      </c>
      <c r="E903" s="3" t="str">
        <f t="shared" si="296"/>
        <v>140</v>
      </c>
      <c r="F903" s="3" t="str">
        <f t="shared" si="292"/>
        <v>100</v>
      </c>
      <c r="G903" s="3" t="str">
        <f t="shared" ref="G903:G906" si="299">"二级"</f>
        <v>二级</v>
      </c>
    </row>
    <row r="904" customHeight="1" spans="1:7">
      <c r="A904" s="3" t="str">
        <f>"902"</f>
        <v>902</v>
      </c>
      <c r="B904" s="3" t="s">
        <v>721</v>
      </c>
      <c r="C904" s="3" t="str">
        <f t="shared" si="298"/>
        <v>坡子街街道</v>
      </c>
      <c r="D904" s="3" t="str">
        <f>"西湖社区"</f>
        <v>西湖社区</v>
      </c>
      <c r="E904" s="3" t="str">
        <f t="shared" si="296"/>
        <v>140</v>
      </c>
      <c r="F904" s="3" t="str">
        <f t="shared" si="292"/>
        <v>100</v>
      </c>
      <c r="G904" s="3" t="str">
        <f t="shared" si="299"/>
        <v>二级</v>
      </c>
    </row>
    <row r="905" customHeight="1" spans="1:7">
      <c r="A905" s="3" t="str">
        <f>"903"</f>
        <v>903</v>
      </c>
      <c r="B905" s="3" t="s">
        <v>621</v>
      </c>
      <c r="C905" s="3" t="str">
        <f t="shared" si="298"/>
        <v>坡子街街道</v>
      </c>
      <c r="D905" s="3" t="str">
        <f>"文庙坪社区"</f>
        <v>文庙坪社区</v>
      </c>
      <c r="E905" s="3" t="str">
        <f t="shared" si="296"/>
        <v>140</v>
      </c>
      <c r="F905" s="3" t="str">
        <f t="shared" si="292"/>
        <v>100</v>
      </c>
      <c r="G905" s="3" t="str">
        <f t="shared" si="299"/>
        <v>二级</v>
      </c>
    </row>
    <row r="906" customHeight="1" spans="1:7">
      <c r="A906" s="3" t="str">
        <f>"904"</f>
        <v>904</v>
      </c>
      <c r="B906" s="3" t="s">
        <v>70</v>
      </c>
      <c r="C906" s="3" t="str">
        <f t="shared" si="298"/>
        <v>坡子街街道</v>
      </c>
      <c r="D906" s="3" t="str">
        <f>"碧湘社区"</f>
        <v>碧湘社区</v>
      </c>
      <c r="E906" s="3" t="str">
        <f t="shared" si="296"/>
        <v>140</v>
      </c>
      <c r="F906" s="3" t="str">
        <f t="shared" si="292"/>
        <v>100</v>
      </c>
      <c r="G906" s="3" t="str">
        <f t="shared" si="299"/>
        <v>二级</v>
      </c>
    </row>
    <row r="907" customHeight="1" spans="1:7">
      <c r="A907" s="3" t="str">
        <f>"905"</f>
        <v>905</v>
      </c>
      <c r="B907" s="3" t="s">
        <v>181</v>
      </c>
      <c r="C907" s="3" t="str">
        <f>"南托街道"</f>
        <v>南托街道</v>
      </c>
      <c r="D907" s="3" t="str">
        <f>"融城社区"</f>
        <v>融城社区</v>
      </c>
      <c r="E907" s="3" t="str">
        <f t="shared" si="296"/>
        <v>140</v>
      </c>
      <c r="F907" s="3" t="str">
        <f t="shared" si="292"/>
        <v>100</v>
      </c>
      <c r="G907" s="3" t="str">
        <f t="shared" ref="G907:G912" si="300">"一级"</f>
        <v>一级</v>
      </c>
    </row>
    <row r="908" customHeight="1" spans="1:7">
      <c r="A908" s="3" t="str">
        <f>"906"</f>
        <v>906</v>
      </c>
      <c r="B908" s="3" t="s">
        <v>722</v>
      </c>
      <c r="C908" s="3" t="str">
        <f t="shared" ref="C908:C912" si="301">"坡子街街道"</f>
        <v>坡子街街道</v>
      </c>
      <c r="D908" s="3" t="str">
        <f>"登仁桥社区"</f>
        <v>登仁桥社区</v>
      </c>
      <c r="E908" s="3" t="str">
        <f t="shared" si="296"/>
        <v>140</v>
      </c>
      <c r="F908" s="3" t="str">
        <f t="shared" si="292"/>
        <v>100</v>
      </c>
      <c r="G908" s="3" t="str">
        <f t="shared" ref="G908:G910" si="302">"二级"</f>
        <v>二级</v>
      </c>
    </row>
    <row r="909" customHeight="1" spans="1:7">
      <c r="A909" s="3" t="str">
        <f>"907"</f>
        <v>907</v>
      </c>
      <c r="B909" s="3" t="s">
        <v>723</v>
      </c>
      <c r="C909" s="3" t="str">
        <f>"金盆岭街道"</f>
        <v>金盆岭街道</v>
      </c>
      <c r="D909" s="3" t="str">
        <f>"天剑社区"</f>
        <v>天剑社区</v>
      </c>
      <c r="E909" s="3" t="str">
        <f t="shared" si="296"/>
        <v>140</v>
      </c>
      <c r="F909" s="3" t="str">
        <f t="shared" si="292"/>
        <v>100</v>
      </c>
      <c r="G909" s="3" t="str">
        <f t="shared" si="302"/>
        <v>二级</v>
      </c>
    </row>
    <row r="910" customHeight="1" spans="1:7">
      <c r="A910" s="3" t="str">
        <f>"908"</f>
        <v>908</v>
      </c>
      <c r="B910" s="3" t="s">
        <v>724</v>
      </c>
      <c r="C910" s="3" t="str">
        <f t="shared" si="301"/>
        <v>坡子街街道</v>
      </c>
      <c r="D910" s="3" t="str">
        <f>"八角亭社区"</f>
        <v>八角亭社区</v>
      </c>
      <c r="E910" s="3" t="str">
        <f t="shared" si="296"/>
        <v>140</v>
      </c>
      <c r="F910" s="3" t="str">
        <f t="shared" si="292"/>
        <v>100</v>
      </c>
      <c r="G910" s="3" t="str">
        <f t="shared" si="302"/>
        <v>二级</v>
      </c>
    </row>
    <row r="911" customHeight="1" spans="1:7">
      <c r="A911" s="3" t="str">
        <f>"909"</f>
        <v>909</v>
      </c>
      <c r="B911" s="3" t="s">
        <v>260</v>
      </c>
      <c r="C911" s="3" t="str">
        <f>"裕南街街道"</f>
        <v>裕南街街道</v>
      </c>
      <c r="D911" s="3" t="str">
        <f>"仰天湖社区"</f>
        <v>仰天湖社区</v>
      </c>
      <c r="E911" s="3" t="str">
        <f t="shared" si="296"/>
        <v>140</v>
      </c>
      <c r="F911" s="3" t="str">
        <f t="shared" si="292"/>
        <v>100</v>
      </c>
      <c r="G911" s="3" t="str">
        <f t="shared" si="300"/>
        <v>一级</v>
      </c>
    </row>
    <row r="912" customHeight="1" spans="1:7">
      <c r="A912" s="3" t="str">
        <f>"910"</f>
        <v>910</v>
      </c>
      <c r="B912" s="3" t="s">
        <v>32</v>
      </c>
      <c r="C912" s="3" t="str">
        <f t="shared" si="301"/>
        <v>坡子街街道</v>
      </c>
      <c r="D912" s="3" t="str">
        <f>"西牌楼社区"</f>
        <v>西牌楼社区</v>
      </c>
      <c r="E912" s="3" t="str">
        <f t="shared" si="296"/>
        <v>140</v>
      </c>
      <c r="F912" s="3" t="str">
        <f t="shared" si="292"/>
        <v>100</v>
      </c>
      <c r="G912" s="3" t="str">
        <f t="shared" si="300"/>
        <v>一级</v>
      </c>
    </row>
    <row r="913" customHeight="1" spans="1:7">
      <c r="A913" s="3" t="str">
        <f>"911"</f>
        <v>911</v>
      </c>
      <c r="B913" s="3" t="s">
        <v>725</v>
      </c>
      <c r="C913" s="3" t="str">
        <f>"大托铺街道"</f>
        <v>大托铺街道</v>
      </c>
      <c r="D913" s="3" t="str">
        <f>"兴隆村委会"</f>
        <v>兴隆村委会</v>
      </c>
      <c r="E913" s="3" t="str">
        <f t="shared" si="296"/>
        <v>140</v>
      </c>
      <c r="F913" s="3" t="str">
        <f t="shared" si="292"/>
        <v>100</v>
      </c>
      <c r="G913" s="3" t="str">
        <f t="shared" ref="G913:G916" si="303">"二级"</f>
        <v>二级</v>
      </c>
    </row>
    <row r="914" customHeight="1" spans="1:7">
      <c r="A914" s="3" t="str">
        <f>"912"</f>
        <v>912</v>
      </c>
      <c r="B914" s="3" t="s">
        <v>726</v>
      </c>
      <c r="C914" s="3" t="str">
        <f>"赤岭路街道"</f>
        <v>赤岭路街道</v>
      </c>
      <c r="D914" s="3" t="str">
        <f>"南大桥社区"</f>
        <v>南大桥社区</v>
      </c>
      <c r="E914" s="3" t="str">
        <f t="shared" si="296"/>
        <v>140</v>
      </c>
      <c r="F914" s="3" t="str">
        <f t="shared" si="292"/>
        <v>100</v>
      </c>
      <c r="G914" s="3" t="str">
        <f t="shared" si="303"/>
        <v>二级</v>
      </c>
    </row>
    <row r="915" customHeight="1" spans="1:7">
      <c r="A915" s="3" t="str">
        <f>"913"</f>
        <v>913</v>
      </c>
      <c r="B915" s="3" t="s">
        <v>484</v>
      </c>
      <c r="C915" s="3" t="str">
        <f>"坡子街街道"</f>
        <v>坡子街街道</v>
      </c>
      <c r="D915" s="3" t="str">
        <f>"文庙坪社区"</f>
        <v>文庙坪社区</v>
      </c>
      <c r="E915" s="3" t="str">
        <f t="shared" si="296"/>
        <v>140</v>
      </c>
      <c r="F915" s="3" t="str">
        <f t="shared" si="292"/>
        <v>100</v>
      </c>
      <c r="G915" s="3" t="str">
        <f>"一级"</f>
        <v>一级</v>
      </c>
    </row>
    <row r="916" customHeight="1" spans="1:7">
      <c r="A916" s="3" t="str">
        <f>"914"</f>
        <v>914</v>
      </c>
      <c r="B916" s="3" t="s">
        <v>727</v>
      </c>
      <c r="C916" s="3" t="str">
        <f>"金盆岭街道"</f>
        <v>金盆岭街道</v>
      </c>
      <c r="D916" s="3" t="str">
        <f>"狮子山社区"</f>
        <v>狮子山社区</v>
      </c>
      <c r="E916" s="3" t="str">
        <f t="shared" si="296"/>
        <v>140</v>
      </c>
      <c r="F916" s="3" t="str">
        <f t="shared" si="292"/>
        <v>100</v>
      </c>
      <c r="G916" s="3" t="str">
        <f t="shared" si="303"/>
        <v>二级</v>
      </c>
    </row>
    <row r="917" customHeight="1" spans="1:7">
      <c r="A917" s="3" t="str">
        <f>"915"</f>
        <v>915</v>
      </c>
      <c r="B917" s="3" t="s">
        <v>80</v>
      </c>
      <c r="C917" s="3" t="str">
        <f>"裕南街街道"</f>
        <v>裕南街街道</v>
      </c>
      <c r="D917" s="3" t="str">
        <f>"向东南社区"</f>
        <v>向东南社区</v>
      </c>
      <c r="E917" s="3" t="str">
        <f t="shared" si="296"/>
        <v>140</v>
      </c>
      <c r="F917" s="3" t="str">
        <f t="shared" si="292"/>
        <v>100</v>
      </c>
      <c r="G917" s="3" t="str">
        <f>"一级"</f>
        <v>一级</v>
      </c>
    </row>
    <row r="918" customHeight="1" spans="1:7">
      <c r="A918" s="3" t="str">
        <f>"916"</f>
        <v>916</v>
      </c>
      <c r="B918" s="3" t="s">
        <v>728</v>
      </c>
      <c r="C918" s="3" t="str">
        <f>"金盆岭街道"</f>
        <v>金盆岭街道</v>
      </c>
      <c r="D918" s="3" t="str">
        <f>"夏家冲社区"</f>
        <v>夏家冲社区</v>
      </c>
      <c r="E918" s="3" t="str">
        <f t="shared" si="296"/>
        <v>140</v>
      </c>
      <c r="F918" s="3" t="str">
        <f t="shared" si="292"/>
        <v>100</v>
      </c>
      <c r="G918" s="3" t="str">
        <f t="shared" ref="G918:G924" si="304">"二级"</f>
        <v>二级</v>
      </c>
    </row>
    <row r="919" customHeight="1" spans="1:7">
      <c r="A919" s="3" t="str">
        <f>"917"</f>
        <v>917</v>
      </c>
      <c r="B919" s="3" t="s">
        <v>76</v>
      </c>
      <c r="C919" s="3" t="str">
        <f>"赤岭路街道"</f>
        <v>赤岭路街道</v>
      </c>
      <c r="D919" s="3" t="str">
        <f>"南大桥社区"</f>
        <v>南大桥社区</v>
      </c>
      <c r="E919" s="3" t="str">
        <f t="shared" si="296"/>
        <v>140</v>
      </c>
      <c r="F919" s="3" t="str">
        <f t="shared" si="292"/>
        <v>100</v>
      </c>
      <c r="G919" s="3" t="str">
        <f t="shared" si="304"/>
        <v>二级</v>
      </c>
    </row>
    <row r="920" customHeight="1" spans="1:7">
      <c r="A920" s="3" t="str">
        <f>"918"</f>
        <v>918</v>
      </c>
      <c r="B920" s="3" t="s">
        <v>729</v>
      </c>
      <c r="C920" s="3" t="str">
        <f>"新开铺街道"</f>
        <v>新开铺街道</v>
      </c>
      <c r="D920" s="3" t="str">
        <f>"新开铺社区"</f>
        <v>新开铺社区</v>
      </c>
      <c r="E920" s="3" t="str">
        <f t="shared" si="296"/>
        <v>140</v>
      </c>
      <c r="F920" s="3" t="str">
        <f t="shared" si="292"/>
        <v>100</v>
      </c>
      <c r="G920" s="3" t="str">
        <f t="shared" si="304"/>
        <v>二级</v>
      </c>
    </row>
    <row r="921" customHeight="1" spans="1:7">
      <c r="A921" s="3" t="str">
        <f>"919"</f>
        <v>919</v>
      </c>
      <c r="B921" s="3" t="s">
        <v>730</v>
      </c>
      <c r="C921" s="3" t="str">
        <f t="shared" ref="C921:C924" si="305">"裕南街街道"</f>
        <v>裕南街街道</v>
      </c>
      <c r="D921" s="3" t="str">
        <f t="shared" ref="D921:D924" si="306">"宝塔山社区"</f>
        <v>宝塔山社区</v>
      </c>
      <c r="E921" s="3" t="str">
        <f t="shared" si="296"/>
        <v>140</v>
      </c>
      <c r="F921" s="3" t="str">
        <f t="shared" si="292"/>
        <v>100</v>
      </c>
      <c r="G921" s="3" t="str">
        <f t="shared" si="304"/>
        <v>二级</v>
      </c>
    </row>
    <row r="922" customHeight="1" spans="1:7">
      <c r="A922" s="3" t="str">
        <f>"920"</f>
        <v>920</v>
      </c>
      <c r="B922" s="3" t="s">
        <v>249</v>
      </c>
      <c r="C922" s="3" t="str">
        <f>"大托铺街道"</f>
        <v>大托铺街道</v>
      </c>
      <c r="D922" s="3" t="str">
        <f>"兴隆村委会"</f>
        <v>兴隆村委会</v>
      </c>
      <c r="E922" s="3" t="str">
        <f t="shared" si="296"/>
        <v>140</v>
      </c>
      <c r="F922" s="3" t="str">
        <f t="shared" si="292"/>
        <v>100</v>
      </c>
      <c r="G922" s="3" t="str">
        <f t="shared" si="304"/>
        <v>二级</v>
      </c>
    </row>
    <row r="923" customHeight="1" spans="1:7">
      <c r="A923" s="3" t="str">
        <f>"921"</f>
        <v>921</v>
      </c>
      <c r="B923" s="3" t="s">
        <v>731</v>
      </c>
      <c r="C923" s="3" t="str">
        <f t="shared" si="305"/>
        <v>裕南街街道</v>
      </c>
      <c r="D923" s="3" t="str">
        <f t="shared" si="306"/>
        <v>宝塔山社区</v>
      </c>
      <c r="E923" s="3" t="str">
        <f t="shared" si="296"/>
        <v>140</v>
      </c>
      <c r="F923" s="3" t="str">
        <f t="shared" si="292"/>
        <v>100</v>
      </c>
      <c r="G923" s="3" t="str">
        <f t="shared" si="304"/>
        <v>二级</v>
      </c>
    </row>
    <row r="924" customHeight="1" spans="1:7">
      <c r="A924" s="3" t="str">
        <f>"922"</f>
        <v>922</v>
      </c>
      <c r="B924" s="3" t="s">
        <v>732</v>
      </c>
      <c r="C924" s="3" t="str">
        <f t="shared" si="305"/>
        <v>裕南街街道</v>
      </c>
      <c r="D924" s="3" t="str">
        <f t="shared" si="306"/>
        <v>宝塔山社区</v>
      </c>
      <c r="E924" s="3" t="str">
        <f t="shared" si="296"/>
        <v>140</v>
      </c>
      <c r="F924" s="3" t="str">
        <f t="shared" si="292"/>
        <v>100</v>
      </c>
      <c r="G924" s="3" t="str">
        <f t="shared" si="304"/>
        <v>二级</v>
      </c>
    </row>
    <row r="925" customHeight="1" spans="1:7">
      <c r="A925" s="3" t="str">
        <f>"923"</f>
        <v>923</v>
      </c>
      <c r="B925" s="3" t="s">
        <v>733</v>
      </c>
      <c r="C925" s="3" t="str">
        <f>"黑石铺街道"</f>
        <v>黑石铺街道</v>
      </c>
      <c r="D925" s="3" t="str">
        <f>"一力社区"</f>
        <v>一力社区</v>
      </c>
      <c r="E925" s="3" t="str">
        <f t="shared" si="296"/>
        <v>140</v>
      </c>
      <c r="F925" s="3" t="str">
        <f t="shared" si="292"/>
        <v>100</v>
      </c>
      <c r="G925" s="3" t="str">
        <f>"一级"</f>
        <v>一级</v>
      </c>
    </row>
    <row r="926" customHeight="1" spans="1:7">
      <c r="A926" s="3" t="str">
        <f>"924"</f>
        <v>924</v>
      </c>
      <c r="B926" s="3" t="s">
        <v>72</v>
      </c>
      <c r="C926" s="3" t="str">
        <f t="shared" ref="C926:C929" si="307">"坡子街街道"</f>
        <v>坡子街街道</v>
      </c>
      <c r="D926" s="3" t="str">
        <f>"坡子街社区"</f>
        <v>坡子街社区</v>
      </c>
      <c r="E926" s="3" t="str">
        <f t="shared" si="296"/>
        <v>140</v>
      </c>
      <c r="F926" s="3" t="str">
        <f t="shared" si="292"/>
        <v>100</v>
      </c>
      <c r="G926" s="3" t="str">
        <f t="shared" ref="G926:G934" si="308">"二级"</f>
        <v>二级</v>
      </c>
    </row>
    <row r="927" customHeight="1" spans="1:7">
      <c r="A927" s="3" t="str">
        <f>"925"</f>
        <v>925</v>
      </c>
      <c r="B927" s="3" t="s">
        <v>734</v>
      </c>
      <c r="C927" s="3" t="str">
        <f t="shared" si="307"/>
        <v>坡子街街道</v>
      </c>
      <c r="D927" s="3" t="str">
        <f>"登仁桥社区"</f>
        <v>登仁桥社区</v>
      </c>
      <c r="E927" s="3" t="str">
        <f t="shared" si="296"/>
        <v>140</v>
      </c>
      <c r="F927" s="3" t="str">
        <f t="shared" si="292"/>
        <v>100</v>
      </c>
      <c r="G927" s="3" t="str">
        <f>"一级"</f>
        <v>一级</v>
      </c>
    </row>
    <row r="928" customHeight="1" spans="1:7">
      <c r="A928" s="3" t="str">
        <f>"926"</f>
        <v>926</v>
      </c>
      <c r="B928" s="3" t="s">
        <v>76</v>
      </c>
      <c r="C928" s="3" t="str">
        <f>"先锋街道"</f>
        <v>先锋街道</v>
      </c>
      <c r="D928" s="3" t="str">
        <f>"新路村委会"</f>
        <v>新路村委会</v>
      </c>
      <c r="E928" s="3" t="str">
        <f t="shared" si="296"/>
        <v>140</v>
      </c>
      <c r="F928" s="3" t="str">
        <f t="shared" si="292"/>
        <v>100</v>
      </c>
      <c r="G928" s="3" t="str">
        <f t="shared" si="308"/>
        <v>二级</v>
      </c>
    </row>
    <row r="929" customHeight="1" spans="1:7">
      <c r="A929" s="3" t="str">
        <f>"927"</f>
        <v>927</v>
      </c>
      <c r="B929" s="3" t="s">
        <v>135</v>
      </c>
      <c r="C929" s="3" t="str">
        <f t="shared" si="307"/>
        <v>坡子街街道</v>
      </c>
      <c r="D929" s="3" t="str">
        <f>"西牌楼社区"</f>
        <v>西牌楼社区</v>
      </c>
      <c r="E929" s="3" t="str">
        <f t="shared" si="296"/>
        <v>140</v>
      </c>
      <c r="F929" s="3" t="str">
        <f t="shared" si="292"/>
        <v>100</v>
      </c>
      <c r="G929" s="3" t="str">
        <f t="shared" si="308"/>
        <v>二级</v>
      </c>
    </row>
    <row r="930" customHeight="1" spans="1:7">
      <c r="A930" s="3" t="str">
        <f>"928"</f>
        <v>928</v>
      </c>
      <c r="B930" s="3" t="s">
        <v>68</v>
      </c>
      <c r="C930" s="3" t="str">
        <f>"黑石铺街道"</f>
        <v>黑石铺街道</v>
      </c>
      <c r="D930" s="3" t="str">
        <f>"一力社区"</f>
        <v>一力社区</v>
      </c>
      <c r="E930" s="3" t="str">
        <f t="shared" si="296"/>
        <v>140</v>
      </c>
      <c r="F930" s="3" t="str">
        <f t="shared" si="292"/>
        <v>100</v>
      </c>
      <c r="G930" s="3" t="str">
        <f t="shared" si="308"/>
        <v>二级</v>
      </c>
    </row>
    <row r="931" customHeight="1" spans="1:7">
      <c r="A931" s="3" t="str">
        <f>"929"</f>
        <v>929</v>
      </c>
      <c r="B931" s="3" t="s">
        <v>735</v>
      </c>
      <c r="C931" s="3" t="str">
        <f>"赤岭路街道"</f>
        <v>赤岭路街道</v>
      </c>
      <c r="D931" s="3" t="str">
        <f>"南大桥社区"</f>
        <v>南大桥社区</v>
      </c>
      <c r="E931" s="3" t="str">
        <f t="shared" si="296"/>
        <v>140</v>
      </c>
      <c r="F931" s="3" t="str">
        <f t="shared" si="292"/>
        <v>100</v>
      </c>
      <c r="G931" s="3" t="str">
        <f t="shared" si="308"/>
        <v>二级</v>
      </c>
    </row>
    <row r="932" customHeight="1" spans="1:7">
      <c r="A932" s="3" t="str">
        <f>"930"</f>
        <v>930</v>
      </c>
      <c r="B932" s="3" t="s">
        <v>736</v>
      </c>
      <c r="C932" s="3" t="str">
        <f>"金盆岭街道"</f>
        <v>金盆岭街道</v>
      </c>
      <c r="D932" s="3" t="str">
        <f>"夏家冲社区"</f>
        <v>夏家冲社区</v>
      </c>
      <c r="E932" s="3" t="str">
        <f t="shared" si="296"/>
        <v>140</v>
      </c>
      <c r="F932" s="3" t="str">
        <f t="shared" si="292"/>
        <v>100</v>
      </c>
      <c r="G932" s="3" t="str">
        <f t="shared" si="308"/>
        <v>二级</v>
      </c>
    </row>
    <row r="933" customHeight="1" spans="1:7">
      <c r="A933" s="3" t="str">
        <f>"931"</f>
        <v>931</v>
      </c>
      <c r="B933" s="3" t="s">
        <v>570</v>
      </c>
      <c r="C933" s="3" t="str">
        <f>"新开铺街道"</f>
        <v>新开铺街道</v>
      </c>
      <c r="D933" s="3" t="str">
        <f>"豹子岭社区"</f>
        <v>豹子岭社区</v>
      </c>
      <c r="E933" s="3" t="str">
        <f t="shared" si="296"/>
        <v>140</v>
      </c>
      <c r="F933" s="3" t="str">
        <f t="shared" si="292"/>
        <v>100</v>
      </c>
      <c r="G933" s="3" t="str">
        <f t="shared" si="308"/>
        <v>二级</v>
      </c>
    </row>
    <row r="934" customHeight="1" spans="1:7">
      <c r="A934" s="3" t="str">
        <f>"932"</f>
        <v>932</v>
      </c>
      <c r="B934" s="3" t="s">
        <v>737</v>
      </c>
      <c r="C934" s="3" t="str">
        <f>"坡子街街道"</f>
        <v>坡子街街道</v>
      </c>
      <c r="D934" s="3" t="str">
        <f>"碧湘社区"</f>
        <v>碧湘社区</v>
      </c>
      <c r="E934" s="3" t="str">
        <f t="shared" si="296"/>
        <v>140</v>
      </c>
      <c r="F934" s="3" t="str">
        <f t="shared" si="292"/>
        <v>100</v>
      </c>
      <c r="G934" s="3" t="str">
        <f t="shared" si="308"/>
        <v>二级</v>
      </c>
    </row>
    <row r="935" customHeight="1" spans="1:7">
      <c r="A935" s="3" t="str">
        <f>"933"</f>
        <v>933</v>
      </c>
      <c r="B935" s="3" t="s">
        <v>738</v>
      </c>
      <c r="C935" s="3" t="str">
        <f t="shared" ref="C935:C940" si="309">"裕南街街道"</f>
        <v>裕南街街道</v>
      </c>
      <c r="D935" s="3" t="str">
        <f>"碧沙湖社区"</f>
        <v>碧沙湖社区</v>
      </c>
      <c r="E935" s="3" t="str">
        <f t="shared" si="296"/>
        <v>140</v>
      </c>
      <c r="F935" s="3" t="str">
        <f t="shared" si="292"/>
        <v>100</v>
      </c>
      <c r="G935" s="3" t="str">
        <f t="shared" ref="G935:G939" si="310">"一级"</f>
        <v>一级</v>
      </c>
    </row>
    <row r="936" customHeight="1" spans="1:7">
      <c r="A936" s="3" t="str">
        <f>"934"</f>
        <v>934</v>
      </c>
      <c r="B936" s="3" t="s">
        <v>739</v>
      </c>
      <c r="C936" s="3" t="str">
        <f>"暮云街道"</f>
        <v>暮云街道</v>
      </c>
      <c r="D936" s="3" t="str">
        <f>"暮云社区"</f>
        <v>暮云社区</v>
      </c>
      <c r="E936" s="3" t="str">
        <f t="shared" si="296"/>
        <v>140</v>
      </c>
      <c r="F936" s="3" t="str">
        <f t="shared" si="292"/>
        <v>100</v>
      </c>
      <c r="G936" s="3" t="str">
        <f t="shared" ref="G936:G942" si="311">"二级"</f>
        <v>二级</v>
      </c>
    </row>
    <row r="937" customHeight="1" spans="1:7">
      <c r="A937" s="3" t="str">
        <f>"935"</f>
        <v>935</v>
      </c>
      <c r="B937" s="3" t="s">
        <v>740</v>
      </c>
      <c r="C937" s="3" t="str">
        <f>"赤岭路街道"</f>
        <v>赤岭路街道</v>
      </c>
      <c r="D937" s="3" t="str">
        <f>"猴子石社区"</f>
        <v>猴子石社区</v>
      </c>
      <c r="E937" s="3" t="str">
        <f t="shared" si="296"/>
        <v>140</v>
      </c>
      <c r="F937" s="3" t="str">
        <f t="shared" si="292"/>
        <v>100</v>
      </c>
      <c r="G937" s="3" t="str">
        <f t="shared" si="311"/>
        <v>二级</v>
      </c>
    </row>
    <row r="938" customHeight="1" spans="1:7">
      <c r="A938" s="3" t="str">
        <f>"936"</f>
        <v>936</v>
      </c>
      <c r="B938" s="3" t="s">
        <v>140</v>
      </c>
      <c r="C938" s="3" t="str">
        <f>"黑石铺街道"</f>
        <v>黑石铺街道</v>
      </c>
      <c r="D938" s="3" t="str">
        <f>"一力社区"</f>
        <v>一力社区</v>
      </c>
      <c r="E938" s="3" t="str">
        <f t="shared" si="296"/>
        <v>140</v>
      </c>
      <c r="F938" s="3" t="str">
        <f t="shared" si="292"/>
        <v>100</v>
      </c>
      <c r="G938" s="3" t="str">
        <f t="shared" si="310"/>
        <v>一级</v>
      </c>
    </row>
    <row r="939" customHeight="1" spans="1:7">
      <c r="A939" s="3" t="str">
        <f>"937"</f>
        <v>937</v>
      </c>
      <c r="B939" s="3" t="s">
        <v>741</v>
      </c>
      <c r="C939" s="3" t="str">
        <f t="shared" si="309"/>
        <v>裕南街街道</v>
      </c>
      <c r="D939" s="3" t="str">
        <f>"火把山社区"</f>
        <v>火把山社区</v>
      </c>
      <c r="E939" s="3" t="str">
        <f t="shared" si="296"/>
        <v>140</v>
      </c>
      <c r="F939" s="3" t="str">
        <f t="shared" si="292"/>
        <v>100</v>
      </c>
      <c r="G939" s="3" t="str">
        <f t="shared" si="310"/>
        <v>一级</v>
      </c>
    </row>
    <row r="940" customHeight="1" spans="1:7">
      <c r="A940" s="3" t="str">
        <f>"938"</f>
        <v>938</v>
      </c>
      <c r="B940" s="3" t="s">
        <v>418</v>
      </c>
      <c r="C940" s="3" t="str">
        <f t="shared" si="309"/>
        <v>裕南街街道</v>
      </c>
      <c r="D940" s="3" t="str">
        <f>"碧沙湖社区"</f>
        <v>碧沙湖社区</v>
      </c>
      <c r="E940" s="3" t="str">
        <f t="shared" si="296"/>
        <v>140</v>
      </c>
      <c r="F940" s="3" t="str">
        <f t="shared" si="292"/>
        <v>100</v>
      </c>
      <c r="G940" s="3" t="str">
        <f t="shared" si="311"/>
        <v>二级</v>
      </c>
    </row>
    <row r="941" customHeight="1" spans="1:7">
      <c r="A941" s="3" t="str">
        <f>"939"</f>
        <v>939</v>
      </c>
      <c r="B941" s="3" t="s">
        <v>742</v>
      </c>
      <c r="C941" s="3" t="str">
        <f>"青园街道"</f>
        <v>青园街道</v>
      </c>
      <c r="D941" s="3" t="str">
        <f>"青园社区"</f>
        <v>青园社区</v>
      </c>
      <c r="E941" s="3" t="str">
        <f t="shared" si="296"/>
        <v>140</v>
      </c>
      <c r="F941" s="3" t="str">
        <f t="shared" si="292"/>
        <v>100</v>
      </c>
      <c r="G941" s="3" t="str">
        <f t="shared" si="311"/>
        <v>二级</v>
      </c>
    </row>
    <row r="942" customHeight="1" spans="1:7">
      <c r="A942" s="3" t="str">
        <f>"940"</f>
        <v>940</v>
      </c>
      <c r="B942" s="3" t="s">
        <v>335</v>
      </c>
      <c r="C942" s="3" t="str">
        <f>"赤岭路街道"</f>
        <v>赤岭路街道</v>
      </c>
      <c r="D942" s="3" t="str">
        <f>"新丰社区"</f>
        <v>新丰社区</v>
      </c>
      <c r="E942" s="3" t="str">
        <f t="shared" si="296"/>
        <v>140</v>
      </c>
      <c r="F942" s="3" t="str">
        <f t="shared" si="292"/>
        <v>100</v>
      </c>
      <c r="G942" s="3" t="str">
        <f t="shared" si="311"/>
        <v>二级</v>
      </c>
    </row>
    <row r="943" customHeight="1" spans="1:7">
      <c r="A943" s="3" t="str">
        <f>"941"</f>
        <v>941</v>
      </c>
      <c r="B943" s="3" t="s">
        <v>146</v>
      </c>
      <c r="C943" s="3" t="str">
        <f>"坡子街街道"</f>
        <v>坡子街街道</v>
      </c>
      <c r="D943" s="3" t="str">
        <f>"青山祠社区"</f>
        <v>青山祠社区</v>
      </c>
      <c r="E943" s="3" t="str">
        <f t="shared" si="296"/>
        <v>140</v>
      </c>
      <c r="F943" s="3" t="str">
        <f t="shared" si="292"/>
        <v>100</v>
      </c>
      <c r="G943" s="3" t="str">
        <f>"一级"</f>
        <v>一级</v>
      </c>
    </row>
    <row r="944" customHeight="1" spans="1:7">
      <c r="A944" s="3" t="str">
        <f>"942"</f>
        <v>942</v>
      </c>
      <c r="B944" s="3" t="s">
        <v>604</v>
      </c>
      <c r="C944" s="3" t="str">
        <f>"金盆岭街道"</f>
        <v>金盆岭街道</v>
      </c>
      <c r="D944" s="3" t="str">
        <f>"狮子山社区"</f>
        <v>狮子山社区</v>
      </c>
      <c r="E944" s="3" t="str">
        <f t="shared" si="296"/>
        <v>140</v>
      </c>
      <c r="F944" s="3" t="str">
        <f t="shared" si="292"/>
        <v>100</v>
      </c>
      <c r="G944" s="3" t="str">
        <f t="shared" ref="G944:G951" si="312">"二级"</f>
        <v>二级</v>
      </c>
    </row>
    <row r="945" customHeight="1" spans="1:7">
      <c r="A945" s="3" t="str">
        <f>"943"</f>
        <v>943</v>
      </c>
      <c r="B945" s="3" t="s">
        <v>743</v>
      </c>
      <c r="C945" s="3" t="str">
        <f t="shared" ref="C945:C948" si="313">"裕南街街道"</f>
        <v>裕南街街道</v>
      </c>
      <c r="D945" s="3" t="str">
        <f>"石子冲社区"</f>
        <v>石子冲社区</v>
      </c>
      <c r="E945" s="3" t="str">
        <f t="shared" si="296"/>
        <v>140</v>
      </c>
      <c r="F945" s="3" t="str">
        <f t="shared" si="292"/>
        <v>100</v>
      </c>
      <c r="G945" s="3" t="str">
        <f>"一级"</f>
        <v>一级</v>
      </c>
    </row>
    <row r="946" customHeight="1" spans="1:7">
      <c r="A946" s="3" t="str">
        <f>"944"</f>
        <v>944</v>
      </c>
      <c r="B946" s="3" t="s">
        <v>744</v>
      </c>
      <c r="C946" s="3" t="str">
        <f t="shared" si="313"/>
        <v>裕南街街道</v>
      </c>
      <c r="D946" s="3" t="str">
        <f>"向东南社区"</f>
        <v>向东南社区</v>
      </c>
      <c r="E946" s="3" t="str">
        <f t="shared" si="296"/>
        <v>140</v>
      </c>
      <c r="F946" s="3" t="str">
        <f t="shared" si="292"/>
        <v>100</v>
      </c>
      <c r="G946" s="3" t="str">
        <f t="shared" si="312"/>
        <v>二级</v>
      </c>
    </row>
    <row r="947" customHeight="1" spans="1:7">
      <c r="A947" s="3" t="str">
        <f>"945"</f>
        <v>945</v>
      </c>
      <c r="B947" s="3" t="s">
        <v>745</v>
      </c>
      <c r="C947" s="3" t="str">
        <f>"坡子街街道"</f>
        <v>坡子街街道</v>
      </c>
      <c r="D947" s="3" t="str">
        <f>"碧湘社区"</f>
        <v>碧湘社区</v>
      </c>
      <c r="E947" s="3" t="str">
        <f t="shared" si="296"/>
        <v>140</v>
      </c>
      <c r="F947" s="3" t="str">
        <f t="shared" si="292"/>
        <v>100</v>
      </c>
      <c r="G947" s="3" t="str">
        <f t="shared" si="312"/>
        <v>二级</v>
      </c>
    </row>
    <row r="948" customHeight="1" spans="1:7">
      <c r="A948" s="3" t="str">
        <f>"946"</f>
        <v>946</v>
      </c>
      <c r="B948" s="3" t="s">
        <v>746</v>
      </c>
      <c r="C948" s="3" t="str">
        <f t="shared" si="313"/>
        <v>裕南街街道</v>
      </c>
      <c r="D948" s="3" t="str">
        <f>"宝塔山社区"</f>
        <v>宝塔山社区</v>
      </c>
      <c r="E948" s="3" t="str">
        <f t="shared" si="296"/>
        <v>140</v>
      </c>
      <c r="F948" s="3" t="str">
        <f t="shared" ref="F948:F1011" si="314">"100"</f>
        <v>100</v>
      </c>
      <c r="G948" s="3" t="str">
        <f t="shared" si="312"/>
        <v>二级</v>
      </c>
    </row>
    <row r="949" customHeight="1" spans="1:7">
      <c r="A949" s="3" t="str">
        <f>"947"</f>
        <v>947</v>
      </c>
      <c r="B949" s="3" t="s">
        <v>747</v>
      </c>
      <c r="C949" s="3" t="str">
        <f>"桂花坪街道"</f>
        <v>桂花坪街道</v>
      </c>
      <c r="D949" s="3" t="str">
        <f>"金桂社区"</f>
        <v>金桂社区</v>
      </c>
      <c r="E949" s="3" t="str">
        <f t="shared" si="296"/>
        <v>140</v>
      </c>
      <c r="F949" s="3" t="str">
        <f t="shared" si="314"/>
        <v>100</v>
      </c>
      <c r="G949" s="3" t="str">
        <f t="shared" si="312"/>
        <v>二级</v>
      </c>
    </row>
    <row r="950" customHeight="1" spans="1:7">
      <c r="A950" s="3" t="str">
        <f>"948"</f>
        <v>948</v>
      </c>
      <c r="B950" s="3" t="s">
        <v>748</v>
      </c>
      <c r="C950" s="3" t="str">
        <f>"大托铺街道"</f>
        <v>大托铺街道</v>
      </c>
      <c r="D950" s="3" t="str">
        <f>"新港村委会"</f>
        <v>新港村委会</v>
      </c>
      <c r="E950" s="3" t="str">
        <f t="shared" si="296"/>
        <v>140</v>
      </c>
      <c r="F950" s="3" t="str">
        <f t="shared" si="314"/>
        <v>100</v>
      </c>
      <c r="G950" s="3" t="str">
        <f t="shared" si="312"/>
        <v>二级</v>
      </c>
    </row>
    <row r="951" customHeight="1" spans="1:7">
      <c r="A951" s="3" t="str">
        <f>"949"</f>
        <v>949</v>
      </c>
      <c r="B951" s="3" t="s">
        <v>509</v>
      </c>
      <c r="C951" s="3" t="str">
        <f>"桂花坪街道"</f>
        <v>桂花坪街道</v>
      </c>
      <c r="D951" s="3" t="str">
        <f>"金桂社区"</f>
        <v>金桂社区</v>
      </c>
      <c r="E951" s="3" t="str">
        <f t="shared" si="296"/>
        <v>140</v>
      </c>
      <c r="F951" s="3" t="str">
        <f t="shared" si="314"/>
        <v>100</v>
      </c>
      <c r="G951" s="3" t="str">
        <f t="shared" si="312"/>
        <v>二级</v>
      </c>
    </row>
    <row r="952" customHeight="1" spans="1:7">
      <c r="A952" s="3" t="str">
        <f>"950"</f>
        <v>950</v>
      </c>
      <c r="B952" s="3" t="s">
        <v>654</v>
      </c>
      <c r="C952" s="3" t="str">
        <f>"大托铺街道"</f>
        <v>大托铺街道</v>
      </c>
      <c r="D952" s="3" t="str">
        <f>"兴隆村委会"</f>
        <v>兴隆村委会</v>
      </c>
      <c r="E952" s="3" t="str">
        <f t="shared" si="296"/>
        <v>140</v>
      </c>
      <c r="F952" s="3" t="str">
        <f t="shared" si="314"/>
        <v>100</v>
      </c>
      <c r="G952" s="3" t="str">
        <f t="shared" ref="G952:G957" si="315">"一级"</f>
        <v>一级</v>
      </c>
    </row>
    <row r="953" customHeight="1" spans="1:7">
      <c r="A953" s="3" t="str">
        <f>"951"</f>
        <v>951</v>
      </c>
      <c r="B953" s="3" t="s">
        <v>257</v>
      </c>
      <c r="C953" s="3" t="str">
        <f>"新开铺街道"</f>
        <v>新开铺街道</v>
      </c>
      <c r="D953" s="3" t="str">
        <f>"石人村委会"</f>
        <v>石人村委会</v>
      </c>
      <c r="E953" s="3" t="str">
        <f t="shared" si="296"/>
        <v>140</v>
      </c>
      <c r="F953" s="3" t="str">
        <f t="shared" si="314"/>
        <v>100</v>
      </c>
      <c r="G953" s="3" t="str">
        <f t="shared" ref="G953:G956" si="316">"二级"</f>
        <v>二级</v>
      </c>
    </row>
    <row r="954" customHeight="1" spans="1:7">
      <c r="A954" s="3" t="str">
        <f>"952"</f>
        <v>952</v>
      </c>
      <c r="B954" s="3" t="s">
        <v>298</v>
      </c>
      <c r="C954" s="3" t="str">
        <f>"南托街道"</f>
        <v>南托街道</v>
      </c>
      <c r="D954" s="3" t="str">
        <f>"沿江村"</f>
        <v>沿江村</v>
      </c>
      <c r="E954" s="3" t="str">
        <f t="shared" si="296"/>
        <v>140</v>
      </c>
      <c r="F954" s="3" t="str">
        <f t="shared" si="314"/>
        <v>100</v>
      </c>
      <c r="G954" s="3" t="str">
        <f t="shared" si="315"/>
        <v>一级</v>
      </c>
    </row>
    <row r="955" customHeight="1" spans="1:7">
      <c r="A955" s="3" t="str">
        <f>"953"</f>
        <v>953</v>
      </c>
      <c r="B955" s="3" t="s">
        <v>749</v>
      </c>
      <c r="C955" s="3" t="str">
        <f t="shared" ref="C955:C957" si="317">"坡子街街道"</f>
        <v>坡子街街道</v>
      </c>
      <c r="D955" s="3" t="str">
        <f>"坡子街社区"</f>
        <v>坡子街社区</v>
      </c>
      <c r="E955" s="3" t="str">
        <f t="shared" si="296"/>
        <v>140</v>
      </c>
      <c r="F955" s="3" t="str">
        <f t="shared" si="314"/>
        <v>100</v>
      </c>
      <c r="G955" s="3" t="str">
        <f t="shared" si="316"/>
        <v>二级</v>
      </c>
    </row>
    <row r="956" customHeight="1" spans="1:7">
      <c r="A956" s="3" t="str">
        <f>"954"</f>
        <v>954</v>
      </c>
      <c r="B956" s="3" t="s">
        <v>750</v>
      </c>
      <c r="C956" s="3" t="str">
        <f t="shared" si="317"/>
        <v>坡子街街道</v>
      </c>
      <c r="D956" s="3" t="str">
        <f>"太平街社区"</f>
        <v>太平街社区</v>
      </c>
      <c r="E956" s="3" t="str">
        <f t="shared" si="296"/>
        <v>140</v>
      </c>
      <c r="F956" s="3" t="str">
        <f t="shared" si="314"/>
        <v>100</v>
      </c>
      <c r="G956" s="3" t="str">
        <f t="shared" si="316"/>
        <v>二级</v>
      </c>
    </row>
    <row r="957" customHeight="1" spans="1:7">
      <c r="A957" s="3" t="str">
        <f>"955"</f>
        <v>955</v>
      </c>
      <c r="B957" s="3" t="s">
        <v>751</v>
      </c>
      <c r="C957" s="3" t="str">
        <f t="shared" si="317"/>
        <v>坡子街街道</v>
      </c>
      <c r="D957" s="3" t="str">
        <f>"文庙坪社区"</f>
        <v>文庙坪社区</v>
      </c>
      <c r="E957" s="3" t="str">
        <f t="shared" si="296"/>
        <v>140</v>
      </c>
      <c r="F957" s="3" t="str">
        <f t="shared" si="314"/>
        <v>100</v>
      </c>
      <c r="G957" s="3" t="str">
        <f t="shared" si="315"/>
        <v>一级</v>
      </c>
    </row>
    <row r="958" customHeight="1" spans="1:7">
      <c r="A958" s="3" t="str">
        <f>"956"</f>
        <v>956</v>
      </c>
      <c r="B958" s="3" t="s">
        <v>752</v>
      </c>
      <c r="C958" s="3" t="str">
        <f>"新开铺街道"</f>
        <v>新开铺街道</v>
      </c>
      <c r="D958" s="3" t="str">
        <f>"新开铺社区"</f>
        <v>新开铺社区</v>
      </c>
      <c r="E958" s="3" t="str">
        <f t="shared" si="296"/>
        <v>140</v>
      </c>
      <c r="F958" s="3" t="str">
        <f t="shared" si="314"/>
        <v>100</v>
      </c>
      <c r="G958" s="3" t="str">
        <f t="shared" ref="G958:G966" si="318">"二级"</f>
        <v>二级</v>
      </c>
    </row>
    <row r="959" customHeight="1" spans="1:7">
      <c r="A959" s="3" t="str">
        <f>"957"</f>
        <v>957</v>
      </c>
      <c r="B959" s="3" t="s">
        <v>112</v>
      </c>
      <c r="C959" s="3" t="str">
        <f>"文源街道"</f>
        <v>文源街道</v>
      </c>
      <c r="D959" s="3" t="str">
        <f>"文源社区"</f>
        <v>文源社区</v>
      </c>
      <c r="E959" s="3" t="str">
        <f t="shared" si="296"/>
        <v>140</v>
      </c>
      <c r="F959" s="3" t="str">
        <f t="shared" si="314"/>
        <v>100</v>
      </c>
      <c r="G959" s="3" t="str">
        <f t="shared" si="318"/>
        <v>二级</v>
      </c>
    </row>
    <row r="960" customHeight="1" spans="1:7">
      <c r="A960" s="3" t="str">
        <f>"958"</f>
        <v>958</v>
      </c>
      <c r="B960" s="3" t="s">
        <v>753</v>
      </c>
      <c r="C960" s="3" t="str">
        <f t="shared" ref="C960:C963" si="319">"南托街道"</f>
        <v>南托街道</v>
      </c>
      <c r="D960" s="3" t="str">
        <f>"沿江村"</f>
        <v>沿江村</v>
      </c>
      <c r="E960" s="3" t="str">
        <f t="shared" si="296"/>
        <v>140</v>
      </c>
      <c r="F960" s="3" t="str">
        <f t="shared" si="314"/>
        <v>100</v>
      </c>
      <c r="G960" s="3" t="str">
        <f t="shared" si="318"/>
        <v>二级</v>
      </c>
    </row>
    <row r="961" customHeight="1" spans="1:7">
      <c r="A961" s="3" t="str">
        <f>"959"</f>
        <v>959</v>
      </c>
      <c r="B961" s="3" t="s">
        <v>754</v>
      </c>
      <c r="C961" s="3" t="str">
        <f>"暮云街道"</f>
        <v>暮云街道</v>
      </c>
      <c r="D961" s="3" t="str">
        <f>"莲华村"</f>
        <v>莲华村</v>
      </c>
      <c r="E961" s="3" t="str">
        <f t="shared" si="296"/>
        <v>140</v>
      </c>
      <c r="F961" s="3" t="str">
        <f t="shared" si="314"/>
        <v>100</v>
      </c>
      <c r="G961" s="3" t="str">
        <f t="shared" si="318"/>
        <v>二级</v>
      </c>
    </row>
    <row r="962" customHeight="1" spans="1:7">
      <c r="A962" s="3" t="str">
        <f>"960"</f>
        <v>960</v>
      </c>
      <c r="B962" s="3" t="s">
        <v>755</v>
      </c>
      <c r="C962" s="3" t="str">
        <f t="shared" si="319"/>
        <v>南托街道</v>
      </c>
      <c r="D962" s="3" t="str">
        <f>"滨洲新村"</f>
        <v>滨洲新村</v>
      </c>
      <c r="E962" s="3" t="str">
        <f t="shared" si="296"/>
        <v>140</v>
      </c>
      <c r="F962" s="3" t="str">
        <f t="shared" si="314"/>
        <v>100</v>
      </c>
      <c r="G962" s="3" t="str">
        <f t="shared" si="318"/>
        <v>二级</v>
      </c>
    </row>
    <row r="963" customHeight="1" spans="1:7">
      <c r="A963" s="3" t="str">
        <f>"961"</f>
        <v>961</v>
      </c>
      <c r="B963" s="3" t="s">
        <v>684</v>
      </c>
      <c r="C963" s="3" t="str">
        <f t="shared" si="319"/>
        <v>南托街道</v>
      </c>
      <c r="D963" s="3" t="str">
        <f>"沿江村"</f>
        <v>沿江村</v>
      </c>
      <c r="E963" s="3" t="str">
        <f t="shared" ref="E963:E1026" si="320">"140"</f>
        <v>140</v>
      </c>
      <c r="F963" s="3" t="str">
        <f t="shared" si="314"/>
        <v>100</v>
      </c>
      <c r="G963" s="3" t="str">
        <f t="shared" si="318"/>
        <v>二级</v>
      </c>
    </row>
    <row r="964" customHeight="1" spans="1:7">
      <c r="A964" s="3" t="str">
        <f>"962"</f>
        <v>962</v>
      </c>
      <c r="B964" s="3" t="s">
        <v>756</v>
      </c>
      <c r="C964" s="3" t="str">
        <f>"暮云街道"</f>
        <v>暮云街道</v>
      </c>
      <c r="D964" s="3" t="str">
        <f>"莲华村"</f>
        <v>莲华村</v>
      </c>
      <c r="E964" s="3" t="str">
        <f t="shared" si="320"/>
        <v>140</v>
      </c>
      <c r="F964" s="3" t="str">
        <f t="shared" si="314"/>
        <v>100</v>
      </c>
      <c r="G964" s="3" t="str">
        <f t="shared" si="318"/>
        <v>二级</v>
      </c>
    </row>
    <row r="965" customHeight="1" spans="1:7">
      <c r="A965" s="3" t="str">
        <f>"963"</f>
        <v>963</v>
      </c>
      <c r="B965" s="3" t="s">
        <v>148</v>
      </c>
      <c r="C965" s="3" t="str">
        <f>"大托铺街道"</f>
        <v>大托铺街道</v>
      </c>
      <c r="D965" s="3" t="str">
        <f>"兴隆村委会"</f>
        <v>兴隆村委会</v>
      </c>
      <c r="E965" s="3" t="str">
        <f t="shared" si="320"/>
        <v>140</v>
      </c>
      <c r="F965" s="3" t="str">
        <f t="shared" si="314"/>
        <v>100</v>
      </c>
      <c r="G965" s="3" t="str">
        <f t="shared" si="318"/>
        <v>二级</v>
      </c>
    </row>
    <row r="966" customHeight="1" spans="1:7">
      <c r="A966" s="3" t="str">
        <f>"964"</f>
        <v>964</v>
      </c>
      <c r="B966" s="3" t="s">
        <v>757</v>
      </c>
      <c r="C966" s="3" t="str">
        <f>"赤岭路街道"</f>
        <v>赤岭路街道</v>
      </c>
      <c r="D966" s="3" t="str">
        <f>"广厦新村社区"</f>
        <v>广厦新村社区</v>
      </c>
      <c r="E966" s="3" t="str">
        <f t="shared" si="320"/>
        <v>140</v>
      </c>
      <c r="F966" s="3" t="str">
        <f t="shared" si="314"/>
        <v>100</v>
      </c>
      <c r="G966" s="3" t="str">
        <f t="shared" si="318"/>
        <v>二级</v>
      </c>
    </row>
    <row r="967" customHeight="1" spans="1:7">
      <c r="A967" s="3" t="str">
        <f>"965"</f>
        <v>965</v>
      </c>
      <c r="B967" s="3" t="s">
        <v>758</v>
      </c>
      <c r="C967" s="3" t="str">
        <f>"黑石铺街道"</f>
        <v>黑石铺街道</v>
      </c>
      <c r="D967" s="3" t="str">
        <f>"披塘村委会"</f>
        <v>披塘村委会</v>
      </c>
      <c r="E967" s="3" t="str">
        <f t="shared" si="320"/>
        <v>140</v>
      </c>
      <c r="F967" s="3" t="str">
        <f t="shared" si="314"/>
        <v>100</v>
      </c>
      <c r="G967" s="3" t="str">
        <f t="shared" ref="G967:G972" si="321">"一级"</f>
        <v>一级</v>
      </c>
    </row>
    <row r="968" customHeight="1" spans="1:7">
      <c r="A968" s="3" t="str">
        <f>"966"</f>
        <v>966</v>
      </c>
      <c r="B968" s="3" t="s">
        <v>577</v>
      </c>
      <c r="C968" s="3" t="str">
        <f t="shared" ref="C968:C972" si="322">"坡子街街道"</f>
        <v>坡子街街道</v>
      </c>
      <c r="D968" s="3" t="str">
        <f>"文庙坪社区"</f>
        <v>文庙坪社区</v>
      </c>
      <c r="E968" s="3" t="str">
        <f t="shared" si="320"/>
        <v>140</v>
      </c>
      <c r="F968" s="3" t="str">
        <f t="shared" si="314"/>
        <v>100</v>
      </c>
      <c r="G968" s="3" t="str">
        <f t="shared" ref="G968:G975" si="323">"二级"</f>
        <v>二级</v>
      </c>
    </row>
    <row r="969" customHeight="1" spans="1:7">
      <c r="A969" s="3" t="str">
        <f>"967"</f>
        <v>967</v>
      </c>
      <c r="B969" s="3" t="s">
        <v>759</v>
      </c>
      <c r="C969" s="3" t="str">
        <f>"城南路街道"</f>
        <v>城南路街道</v>
      </c>
      <c r="D969" s="3" t="str">
        <f>"燕子岭社区"</f>
        <v>燕子岭社区</v>
      </c>
      <c r="E969" s="3" t="str">
        <f t="shared" si="320"/>
        <v>140</v>
      </c>
      <c r="F969" s="3" t="str">
        <f t="shared" si="314"/>
        <v>100</v>
      </c>
      <c r="G969" s="3" t="str">
        <f t="shared" si="323"/>
        <v>二级</v>
      </c>
    </row>
    <row r="970" customHeight="1" spans="1:7">
      <c r="A970" s="3" t="str">
        <f>"968"</f>
        <v>968</v>
      </c>
      <c r="B970" s="3" t="s">
        <v>760</v>
      </c>
      <c r="C970" s="3" t="str">
        <f t="shared" si="322"/>
        <v>坡子街街道</v>
      </c>
      <c r="D970" s="3" t="str">
        <f>"登仁桥社区"</f>
        <v>登仁桥社区</v>
      </c>
      <c r="E970" s="3" t="str">
        <f t="shared" si="320"/>
        <v>140</v>
      </c>
      <c r="F970" s="3" t="str">
        <f t="shared" si="314"/>
        <v>100</v>
      </c>
      <c r="G970" s="3" t="str">
        <f t="shared" si="321"/>
        <v>一级</v>
      </c>
    </row>
    <row r="971" customHeight="1" spans="1:7">
      <c r="A971" s="3" t="str">
        <f>"969"</f>
        <v>969</v>
      </c>
      <c r="B971" s="3" t="s">
        <v>761</v>
      </c>
      <c r="C971" s="3" t="str">
        <f t="shared" si="322"/>
        <v>坡子街街道</v>
      </c>
      <c r="D971" s="3" t="str">
        <f>"文庙坪社区"</f>
        <v>文庙坪社区</v>
      </c>
      <c r="E971" s="3" t="str">
        <f t="shared" si="320"/>
        <v>140</v>
      </c>
      <c r="F971" s="3" t="str">
        <f t="shared" si="314"/>
        <v>100</v>
      </c>
      <c r="G971" s="3" t="str">
        <f t="shared" si="321"/>
        <v>一级</v>
      </c>
    </row>
    <row r="972" customHeight="1" spans="1:7">
      <c r="A972" s="3" t="str">
        <f>"970"</f>
        <v>970</v>
      </c>
      <c r="B972" s="3" t="s">
        <v>762</v>
      </c>
      <c r="C972" s="3" t="str">
        <f t="shared" si="322"/>
        <v>坡子街街道</v>
      </c>
      <c r="D972" s="3" t="str">
        <f>"八角亭社区"</f>
        <v>八角亭社区</v>
      </c>
      <c r="E972" s="3" t="str">
        <f t="shared" si="320"/>
        <v>140</v>
      </c>
      <c r="F972" s="3" t="str">
        <f t="shared" si="314"/>
        <v>100</v>
      </c>
      <c r="G972" s="3" t="str">
        <f t="shared" si="321"/>
        <v>一级</v>
      </c>
    </row>
    <row r="973" customHeight="1" spans="1:7">
      <c r="A973" s="3" t="str">
        <f>"971"</f>
        <v>971</v>
      </c>
      <c r="B973" s="3" t="s">
        <v>763</v>
      </c>
      <c r="C973" s="3" t="str">
        <f>"金盆岭街道"</f>
        <v>金盆岭街道</v>
      </c>
      <c r="D973" s="3" t="str">
        <f>"赤岭路社区"</f>
        <v>赤岭路社区</v>
      </c>
      <c r="E973" s="3" t="str">
        <f t="shared" si="320"/>
        <v>140</v>
      </c>
      <c r="F973" s="3" t="str">
        <f t="shared" si="314"/>
        <v>100</v>
      </c>
      <c r="G973" s="3" t="str">
        <f t="shared" si="323"/>
        <v>二级</v>
      </c>
    </row>
    <row r="974" customHeight="1" spans="1:7">
      <c r="A974" s="3" t="str">
        <f>"972"</f>
        <v>972</v>
      </c>
      <c r="B974" s="3" t="s">
        <v>125</v>
      </c>
      <c r="C974" s="3" t="str">
        <f>"城南路街道"</f>
        <v>城南路街道</v>
      </c>
      <c r="D974" s="3" t="str">
        <f>"吴家坪社区"</f>
        <v>吴家坪社区</v>
      </c>
      <c r="E974" s="3" t="str">
        <f t="shared" si="320"/>
        <v>140</v>
      </c>
      <c r="F974" s="3" t="str">
        <f t="shared" si="314"/>
        <v>100</v>
      </c>
      <c r="G974" s="3" t="str">
        <f t="shared" si="323"/>
        <v>二级</v>
      </c>
    </row>
    <row r="975" customHeight="1" spans="1:7">
      <c r="A975" s="3" t="str">
        <f>"973"</f>
        <v>973</v>
      </c>
      <c r="B975" s="3" t="s">
        <v>163</v>
      </c>
      <c r="C975" s="3" t="str">
        <f>"新开铺街道"</f>
        <v>新开铺街道</v>
      </c>
      <c r="D975" s="3" t="str">
        <f>"新开铺社区"</f>
        <v>新开铺社区</v>
      </c>
      <c r="E975" s="3" t="str">
        <f t="shared" si="320"/>
        <v>140</v>
      </c>
      <c r="F975" s="3" t="str">
        <f t="shared" si="314"/>
        <v>100</v>
      </c>
      <c r="G975" s="3" t="str">
        <f t="shared" si="323"/>
        <v>二级</v>
      </c>
    </row>
    <row r="976" customHeight="1" spans="1:7">
      <c r="A976" s="3" t="str">
        <f>"974"</f>
        <v>974</v>
      </c>
      <c r="B976" s="3" t="s">
        <v>764</v>
      </c>
      <c r="C976" s="3" t="str">
        <f>"大托铺街道"</f>
        <v>大托铺街道</v>
      </c>
      <c r="D976" s="3" t="str">
        <f>"桂井村委会"</f>
        <v>桂井村委会</v>
      </c>
      <c r="E976" s="3" t="str">
        <f t="shared" si="320"/>
        <v>140</v>
      </c>
      <c r="F976" s="3" t="str">
        <f t="shared" si="314"/>
        <v>100</v>
      </c>
      <c r="G976" s="3" t="str">
        <f>"一级"</f>
        <v>一级</v>
      </c>
    </row>
    <row r="977" customHeight="1" spans="1:7">
      <c r="A977" s="3" t="str">
        <f>"975"</f>
        <v>975</v>
      </c>
      <c r="B977" s="3" t="s">
        <v>139</v>
      </c>
      <c r="C977" s="3" t="str">
        <f t="shared" ref="C977:C982" si="324">"坡子街街道"</f>
        <v>坡子街街道</v>
      </c>
      <c r="D977" s="3" t="str">
        <f>"登仁桥社区"</f>
        <v>登仁桥社区</v>
      </c>
      <c r="E977" s="3" t="str">
        <f t="shared" si="320"/>
        <v>140</v>
      </c>
      <c r="F977" s="3" t="str">
        <f t="shared" si="314"/>
        <v>100</v>
      </c>
      <c r="G977" s="3" t="str">
        <f>"一级"</f>
        <v>一级</v>
      </c>
    </row>
    <row r="978" customHeight="1" spans="1:7">
      <c r="A978" s="3" t="str">
        <f>"976"</f>
        <v>976</v>
      </c>
      <c r="B978" s="3" t="s">
        <v>765</v>
      </c>
      <c r="C978" s="3" t="str">
        <f>"金盆岭街道"</f>
        <v>金盆岭街道</v>
      </c>
      <c r="D978" s="3" t="str">
        <f>"夏家冲社区"</f>
        <v>夏家冲社区</v>
      </c>
      <c r="E978" s="3" t="str">
        <f t="shared" si="320"/>
        <v>140</v>
      </c>
      <c r="F978" s="3" t="str">
        <f t="shared" si="314"/>
        <v>100</v>
      </c>
      <c r="G978" s="3" t="str">
        <f t="shared" ref="G978:G989" si="325">"二级"</f>
        <v>二级</v>
      </c>
    </row>
    <row r="979" customHeight="1" spans="1:7">
      <c r="A979" s="3" t="str">
        <f>"977"</f>
        <v>977</v>
      </c>
      <c r="B979" s="3" t="s">
        <v>766</v>
      </c>
      <c r="C979" s="3" t="str">
        <f t="shared" si="324"/>
        <v>坡子街街道</v>
      </c>
      <c r="D979" s="3" t="str">
        <f>"太平街社区"</f>
        <v>太平街社区</v>
      </c>
      <c r="E979" s="3" t="str">
        <f t="shared" si="320"/>
        <v>140</v>
      </c>
      <c r="F979" s="3" t="str">
        <f t="shared" si="314"/>
        <v>100</v>
      </c>
      <c r="G979" s="3" t="str">
        <f t="shared" si="325"/>
        <v>二级</v>
      </c>
    </row>
    <row r="980" customHeight="1" spans="1:7">
      <c r="A980" s="3" t="str">
        <f>"978"</f>
        <v>978</v>
      </c>
      <c r="B980" s="3" t="s">
        <v>767</v>
      </c>
      <c r="C980" s="3" t="str">
        <f t="shared" si="324"/>
        <v>坡子街街道</v>
      </c>
      <c r="D980" s="3" t="str">
        <f>"坡子街社区"</f>
        <v>坡子街社区</v>
      </c>
      <c r="E980" s="3" t="str">
        <f t="shared" si="320"/>
        <v>140</v>
      </c>
      <c r="F980" s="3" t="str">
        <f t="shared" si="314"/>
        <v>100</v>
      </c>
      <c r="G980" s="3" t="str">
        <f t="shared" si="325"/>
        <v>二级</v>
      </c>
    </row>
    <row r="981" customHeight="1" spans="1:7">
      <c r="A981" s="3" t="str">
        <f>"979"</f>
        <v>979</v>
      </c>
      <c r="B981" s="3" t="s">
        <v>768</v>
      </c>
      <c r="C981" s="3" t="str">
        <f t="shared" si="324"/>
        <v>坡子街街道</v>
      </c>
      <c r="D981" s="3" t="str">
        <f>"文庙坪社区"</f>
        <v>文庙坪社区</v>
      </c>
      <c r="E981" s="3" t="str">
        <f t="shared" si="320"/>
        <v>140</v>
      </c>
      <c r="F981" s="3" t="str">
        <f t="shared" si="314"/>
        <v>100</v>
      </c>
      <c r="G981" s="3" t="str">
        <f t="shared" si="325"/>
        <v>二级</v>
      </c>
    </row>
    <row r="982" customHeight="1" spans="1:7">
      <c r="A982" s="3" t="str">
        <f>"980"</f>
        <v>980</v>
      </c>
      <c r="B982" s="3" t="s">
        <v>769</v>
      </c>
      <c r="C982" s="3" t="str">
        <f t="shared" si="324"/>
        <v>坡子街街道</v>
      </c>
      <c r="D982" s="3" t="str">
        <f>"登仁桥社区"</f>
        <v>登仁桥社区</v>
      </c>
      <c r="E982" s="3" t="str">
        <f t="shared" si="320"/>
        <v>140</v>
      </c>
      <c r="F982" s="3" t="str">
        <f t="shared" si="314"/>
        <v>100</v>
      </c>
      <c r="G982" s="3" t="str">
        <f t="shared" si="325"/>
        <v>二级</v>
      </c>
    </row>
    <row r="983" customHeight="1" spans="1:7">
      <c r="A983" s="3" t="str">
        <f>"981"</f>
        <v>981</v>
      </c>
      <c r="B983" s="3" t="s">
        <v>770</v>
      </c>
      <c r="C983" s="3" t="str">
        <f t="shared" ref="C983:C988" si="326">"裕南街街道"</f>
        <v>裕南街街道</v>
      </c>
      <c r="D983" s="3" t="str">
        <f>"宝塔山社区"</f>
        <v>宝塔山社区</v>
      </c>
      <c r="E983" s="3" t="str">
        <f t="shared" si="320"/>
        <v>140</v>
      </c>
      <c r="F983" s="3" t="str">
        <f t="shared" si="314"/>
        <v>100</v>
      </c>
      <c r="G983" s="3" t="str">
        <f t="shared" si="325"/>
        <v>二级</v>
      </c>
    </row>
    <row r="984" customHeight="1" spans="1:7">
      <c r="A984" s="3" t="str">
        <f>"982"</f>
        <v>982</v>
      </c>
      <c r="B984" s="3" t="s">
        <v>771</v>
      </c>
      <c r="C984" s="3" t="str">
        <f t="shared" si="326"/>
        <v>裕南街街道</v>
      </c>
      <c r="D984" s="3" t="str">
        <f>"火把山社区"</f>
        <v>火把山社区</v>
      </c>
      <c r="E984" s="3" t="str">
        <f t="shared" si="320"/>
        <v>140</v>
      </c>
      <c r="F984" s="3" t="str">
        <f t="shared" si="314"/>
        <v>100</v>
      </c>
      <c r="G984" s="3" t="str">
        <f t="shared" si="325"/>
        <v>二级</v>
      </c>
    </row>
    <row r="985" customHeight="1" spans="1:7">
      <c r="A985" s="3" t="str">
        <f>"983"</f>
        <v>983</v>
      </c>
      <c r="B985" s="3" t="s">
        <v>772</v>
      </c>
      <c r="C985" s="3" t="str">
        <f t="shared" ref="C985:C989" si="327">"坡子街街道"</f>
        <v>坡子街街道</v>
      </c>
      <c r="D985" s="3" t="str">
        <f>"西牌楼社区"</f>
        <v>西牌楼社区</v>
      </c>
      <c r="E985" s="3" t="str">
        <f t="shared" si="320"/>
        <v>140</v>
      </c>
      <c r="F985" s="3" t="str">
        <f t="shared" si="314"/>
        <v>100</v>
      </c>
      <c r="G985" s="3" t="str">
        <f t="shared" si="325"/>
        <v>二级</v>
      </c>
    </row>
    <row r="986" customHeight="1" spans="1:7">
      <c r="A986" s="3" t="str">
        <f>"984"</f>
        <v>984</v>
      </c>
      <c r="B986" s="3" t="s">
        <v>773</v>
      </c>
      <c r="C986" s="3" t="str">
        <f t="shared" si="327"/>
        <v>坡子街街道</v>
      </c>
      <c r="D986" s="3" t="str">
        <f>"西牌楼社区"</f>
        <v>西牌楼社区</v>
      </c>
      <c r="E986" s="3" t="str">
        <f t="shared" si="320"/>
        <v>140</v>
      </c>
      <c r="F986" s="3" t="str">
        <f t="shared" si="314"/>
        <v>100</v>
      </c>
      <c r="G986" s="3" t="str">
        <f t="shared" si="325"/>
        <v>二级</v>
      </c>
    </row>
    <row r="987" customHeight="1" spans="1:7">
      <c r="A987" s="3" t="str">
        <f>"985"</f>
        <v>985</v>
      </c>
      <c r="B987" s="3" t="s">
        <v>774</v>
      </c>
      <c r="C987" s="3" t="str">
        <f t="shared" si="326"/>
        <v>裕南街街道</v>
      </c>
      <c r="D987" s="3" t="str">
        <f>"长坡社区"</f>
        <v>长坡社区</v>
      </c>
      <c r="E987" s="3" t="str">
        <f t="shared" si="320"/>
        <v>140</v>
      </c>
      <c r="F987" s="3" t="str">
        <f t="shared" si="314"/>
        <v>100</v>
      </c>
      <c r="G987" s="3" t="str">
        <f t="shared" si="325"/>
        <v>二级</v>
      </c>
    </row>
    <row r="988" customHeight="1" spans="1:7">
      <c r="A988" s="3" t="str">
        <f>"986"</f>
        <v>986</v>
      </c>
      <c r="B988" s="3" t="s">
        <v>775</v>
      </c>
      <c r="C988" s="3" t="str">
        <f t="shared" si="326"/>
        <v>裕南街街道</v>
      </c>
      <c r="D988" s="3" t="str">
        <f>"向东南社区"</f>
        <v>向东南社区</v>
      </c>
      <c r="E988" s="3" t="str">
        <f t="shared" si="320"/>
        <v>140</v>
      </c>
      <c r="F988" s="3" t="str">
        <f t="shared" si="314"/>
        <v>100</v>
      </c>
      <c r="G988" s="3" t="str">
        <f t="shared" si="325"/>
        <v>二级</v>
      </c>
    </row>
    <row r="989" customHeight="1" spans="1:7">
      <c r="A989" s="3" t="str">
        <f>"987"</f>
        <v>987</v>
      </c>
      <c r="B989" s="3" t="s">
        <v>776</v>
      </c>
      <c r="C989" s="3" t="str">
        <f t="shared" si="327"/>
        <v>坡子街街道</v>
      </c>
      <c r="D989" s="3" t="str">
        <f>"西湖社区"</f>
        <v>西湖社区</v>
      </c>
      <c r="E989" s="3" t="str">
        <f t="shared" si="320"/>
        <v>140</v>
      </c>
      <c r="F989" s="3" t="str">
        <f t="shared" si="314"/>
        <v>100</v>
      </c>
      <c r="G989" s="3" t="str">
        <f t="shared" si="325"/>
        <v>二级</v>
      </c>
    </row>
    <row r="990" customHeight="1" spans="1:7">
      <c r="A990" s="3" t="str">
        <f>"988"</f>
        <v>988</v>
      </c>
      <c r="B990" s="3" t="s">
        <v>777</v>
      </c>
      <c r="C990" s="3" t="str">
        <f>"城南路街道"</f>
        <v>城南路街道</v>
      </c>
      <c r="D990" s="3" t="str">
        <f>"吴家坪社区"</f>
        <v>吴家坪社区</v>
      </c>
      <c r="E990" s="3" t="str">
        <f t="shared" si="320"/>
        <v>140</v>
      </c>
      <c r="F990" s="3" t="str">
        <f t="shared" si="314"/>
        <v>100</v>
      </c>
      <c r="G990" s="3" t="str">
        <f>"一级"</f>
        <v>一级</v>
      </c>
    </row>
    <row r="991" customHeight="1" spans="1:7">
      <c r="A991" s="3" t="str">
        <f>"989"</f>
        <v>989</v>
      </c>
      <c r="B991" s="3" t="s">
        <v>778</v>
      </c>
      <c r="C991" s="3" t="str">
        <f>"坡子街街道"</f>
        <v>坡子街街道</v>
      </c>
      <c r="D991" s="3" t="str">
        <f>"创远社区"</f>
        <v>创远社区</v>
      </c>
      <c r="E991" s="3" t="str">
        <f t="shared" si="320"/>
        <v>140</v>
      </c>
      <c r="F991" s="3" t="str">
        <f t="shared" si="314"/>
        <v>100</v>
      </c>
      <c r="G991" s="3" t="str">
        <f>"一级"</f>
        <v>一级</v>
      </c>
    </row>
    <row r="992" customHeight="1" spans="1:7">
      <c r="A992" s="3" t="str">
        <f>"990"</f>
        <v>990</v>
      </c>
      <c r="B992" s="3" t="s">
        <v>779</v>
      </c>
      <c r="C992" s="3" t="str">
        <f>"城南路街道"</f>
        <v>城南路街道</v>
      </c>
      <c r="D992" s="3" t="str">
        <f>"天心阁社区"</f>
        <v>天心阁社区</v>
      </c>
      <c r="E992" s="3" t="str">
        <f t="shared" si="320"/>
        <v>140</v>
      </c>
      <c r="F992" s="3" t="str">
        <f t="shared" si="314"/>
        <v>100</v>
      </c>
      <c r="G992" s="3" t="str">
        <f t="shared" ref="G992:G996" si="328">"二级"</f>
        <v>二级</v>
      </c>
    </row>
    <row r="993" customHeight="1" spans="1:7">
      <c r="A993" s="3" t="str">
        <f>"991"</f>
        <v>991</v>
      </c>
      <c r="B993" s="3" t="s">
        <v>780</v>
      </c>
      <c r="C993" s="3" t="str">
        <f>"坡子街街道"</f>
        <v>坡子街街道</v>
      </c>
      <c r="D993" s="3" t="str">
        <f>"创远社区"</f>
        <v>创远社区</v>
      </c>
      <c r="E993" s="3" t="str">
        <f t="shared" si="320"/>
        <v>140</v>
      </c>
      <c r="F993" s="3" t="str">
        <f t="shared" si="314"/>
        <v>100</v>
      </c>
      <c r="G993" s="3" t="str">
        <f t="shared" si="328"/>
        <v>二级</v>
      </c>
    </row>
    <row r="994" customHeight="1" spans="1:7">
      <c r="A994" s="3" t="str">
        <f>"992"</f>
        <v>992</v>
      </c>
      <c r="B994" s="3" t="s">
        <v>686</v>
      </c>
      <c r="C994" s="3" t="str">
        <f>"赤岭路街道"</f>
        <v>赤岭路街道</v>
      </c>
      <c r="D994" s="3" t="str">
        <f>"南大桥社区"</f>
        <v>南大桥社区</v>
      </c>
      <c r="E994" s="3" t="str">
        <f t="shared" si="320"/>
        <v>140</v>
      </c>
      <c r="F994" s="3" t="str">
        <f t="shared" si="314"/>
        <v>100</v>
      </c>
      <c r="G994" s="3" t="str">
        <f t="shared" si="328"/>
        <v>二级</v>
      </c>
    </row>
    <row r="995" customHeight="1" spans="1:7">
      <c r="A995" s="3" t="str">
        <f>"993"</f>
        <v>993</v>
      </c>
      <c r="B995" s="3" t="s">
        <v>781</v>
      </c>
      <c r="C995" s="3" t="str">
        <f>"文源街道"</f>
        <v>文源街道</v>
      </c>
      <c r="D995" s="3" t="str">
        <f>"梅岭社区"</f>
        <v>梅岭社区</v>
      </c>
      <c r="E995" s="3" t="str">
        <f t="shared" si="320"/>
        <v>140</v>
      </c>
      <c r="F995" s="3" t="str">
        <f t="shared" si="314"/>
        <v>100</v>
      </c>
      <c r="G995" s="3" t="str">
        <f t="shared" si="328"/>
        <v>二级</v>
      </c>
    </row>
    <row r="996" customHeight="1" spans="1:7">
      <c r="A996" s="3" t="str">
        <f>"994"</f>
        <v>994</v>
      </c>
      <c r="B996" s="3" t="s">
        <v>782</v>
      </c>
      <c r="C996" s="3" t="str">
        <f>"裕南街街道"</f>
        <v>裕南街街道</v>
      </c>
      <c r="D996" s="3" t="str">
        <f>"长坡社区"</f>
        <v>长坡社区</v>
      </c>
      <c r="E996" s="3" t="str">
        <f t="shared" si="320"/>
        <v>140</v>
      </c>
      <c r="F996" s="3" t="str">
        <f t="shared" si="314"/>
        <v>100</v>
      </c>
      <c r="G996" s="3" t="str">
        <f t="shared" si="328"/>
        <v>二级</v>
      </c>
    </row>
    <row r="997" customHeight="1" spans="1:7">
      <c r="A997" s="3" t="str">
        <f>"995"</f>
        <v>995</v>
      </c>
      <c r="B997" s="3" t="s">
        <v>767</v>
      </c>
      <c r="C997" s="3" t="str">
        <f>"裕南街街道"</f>
        <v>裕南街街道</v>
      </c>
      <c r="D997" s="3" t="str">
        <f>"裕南街社区"</f>
        <v>裕南街社区</v>
      </c>
      <c r="E997" s="3" t="str">
        <f t="shared" si="320"/>
        <v>140</v>
      </c>
      <c r="F997" s="3" t="str">
        <f t="shared" si="314"/>
        <v>100</v>
      </c>
      <c r="G997" s="3" t="str">
        <f t="shared" ref="G997:G1000" si="329">"一级"</f>
        <v>一级</v>
      </c>
    </row>
    <row r="998" customHeight="1" spans="1:7">
      <c r="A998" s="3" t="str">
        <f>"996"</f>
        <v>996</v>
      </c>
      <c r="B998" s="3" t="s">
        <v>783</v>
      </c>
      <c r="C998" s="3" t="str">
        <f>"城南路街道"</f>
        <v>城南路街道</v>
      </c>
      <c r="D998" s="3" t="str">
        <f>"工农桥社区"</f>
        <v>工农桥社区</v>
      </c>
      <c r="E998" s="3" t="str">
        <f t="shared" si="320"/>
        <v>140</v>
      </c>
      <c r="F998" s="3" t="str">
        <f t="shared" si="314"/>
        <v>100</v>
      </c>
      <c r="G998" s="3" t="str">
        <f t="shared" si="329"/>
        <v>一级</v>
      </c>
    </row>
    <row r="999" customHeight="1" spans="1:7">
      <c r="A999" s="3" t="str">
        <f>"997"</f>
        <v>997</v>
      </c>
      <c r="B999" s="3" t="s">
        <v>784</v>
      </c>
      <c r="C999" s="3" t="str">
        <f>"金盆岭街道"</f>
        <v>金盆岭街道</v>
      </c>
      <c r="D999" s="3" t="str">
        <f>"天剑社区"</f>
        <v>天剑社区</v>
      </c>
      <c r="E999" s="3" t="str">
        <f t="shared" si="320"/>
        <v>140</v>
      </c>
      <c r="F999" s="3" t="str">
        <f t="shared" si="314"/>
        <v>100</v>
      </c>
      <c r="G999" s="3" t="str">
        <f t="shared" si="329"/>
        <v>一级</v>
      </c>
    </row>
    <row r="1000" customHeight="1" spans="1:7">
      <c r="A1000" s="3" t="str">
        <f>"998"</f>
        <v>998</v>
      </c>
      <c r="B1000" s="3" t="s">
        <v>767</v>
      </c>
      <c r="C1000" s="3" t="str">
        <f t="shared" ref="C1000:C1003" si="330">"坡子街街道"</f>
        <v>坡子街街道</v>
      </c>
      <c r="D1000" s="3" t="str">
        <f>"碧湘社区"</f>
        <v>碧湘社区</v>
      </c>
      <c r="E1000" s="3" t="str">
        <f t="shared" si="320"/>
        <v>140</v>
      </c>
      <c r="F1000" s="3" t="str">
        <f t="shared" si="314"/>
        <v>100</v>
      </c>
      <c r="G1000" s="3" t="str">
        <f t="shared" si="329"/>
        <v>一级</v>
      </c>
    </row>
    <row r="1001" customHeight="1" spans="1:7">
      <c r="A1001" s="3" t="str">
        <f>"999"</f>
        <v>999</v>
      </c>
      <c r="B1001" s="3" t="s">
        <v>785</v>
      </c>
      <c r="C1001" s="3" t="str">
        <f>"赤岭路街道"</f>
        <v>赤岭路街道</v>
      </c>
      <c r="D1001" s="3" t="str">
        <f>"新丰社区"</f>
        <v>新丰社区</v>
      </c>
      <c r="E1001" s="3" t="str">
        <f t="shared" si="320"/>
        <v>140</v>
      </c>
      <c r="F1001" s="3" t="str">
        <f t="shared" si="314"/>
        <v>100</v>
      </c>
      <c r="G1001" s="3" t="str">
        <f t="shared" ref="G1001:G1006" si="331">"二级"</f>
        <v>二级</v>
      </c>
    </row>
    <row r="1002" customHeight="1" spans="1:7">
      <c r="A1002" s="3" t="str">
        <f>"1000"</f>
        <v>1000</v>
      </c>
      <c r="B1002" s="3" t="s">
        <v>786</v>
      </c>
      <c r="C1002" s="3" t="str">
        <f t="shared" si="330"/>
        <v>坡子街街道</v>
      </c>
      <c r="D1002" s="3" t="str">
        <f>"碧湘社区"</f>
        <v>碧湘社区</v>
      </c>
      <c r="E1002" s="3" t="str">
        <f t="shared" si="320"/>
        <v>140</v>
      </c>
      <c r="F1002" s="3" t="str">
        <f t="shared" si="314"/>
        <v>100</v>
      </c>
      <c r="G1002" s="3" t="str">
        <f t="shared" ref="G1002:G1008" si="332">"一级"</f>
        <v>一级</v>
      </c>
    </row>
    <row r="1003" customHeight="1" spans="1:7">
      <c r="A1003" s="3" t="str">
        <f>"1001"</f>
        <v>1001</v>
      </c>
      <c r="B1003" s="3" t="s">
        <v>787</v>
      </c>
      <c r="C1003" s="3" t="str">
        <f t="shared" si="330"/>
        <v>坡子街街道</v>
      </c>
      <c r="D1003" s="3" t="str">
        <f>"创远社区"</f>
        <v>创远社区</v>
      </c>
      <c r="E1003" s="3" t="str">
        <f t="shared" si="320"/>
        <v>140</v>
      </c>
      <c r="F1003" s="3" t="str">
        <f t="shared" si="314"/>
        <v>100</v>
      </c>
      <c r="G1003" s="3" t="str">
        <f t="shared" si="331"/>
        <v>二级</v>
      </c>
    </row>
    <row r="1004" customHeight="1" spans="1:7">
      <c r="A1004" s="3" t="str">
        <f>"1002"</f>
        <v>1002</v>
      </c>
      <c r="B1004" s="3" t="s">
        <v>788</v>
      </c>
      <c r="C1004" s="3" t="str">
        <f>"裕南街街道"</f>
        <v>裕南街街道</v>
      </c>
      <c r="D1004" s="3" t="str">
        <f>"火把山社区"</f>
        <v>火把山社区</v>
      </c>
      <c r="E1004" s="3" t="str">
        <f t="shared" si="320"/>
        <v>140</v>
      </c>
      <c r="F1004" s="3" t="str">
        <f t="shared" si="314"/>
        <v>100</v>
      </c>
      <c r="G1004" s="3" t="str">
        <f t="shared" si="332"/>
        <v>一级</v>
      </c>
    </row>
    <row r="1005" customHeight="1" spans="1:7">
      <c r="A1005" s="3" t="str">
        <f>"1003"</f>
        <v>1003</v>
      </c>
      <c r="B1005" s="3" t="s">
        <v>789</v>
      </c>
      <c r="C1005" s="3" t="str">
        <f>"先锋街道"</f>
        <v>先锋街道</v>
      </c>
      <c r="D1005" s="3" t="str">
        <f>"新路村委会"</f>
        <v>新路村委会</v>
      </c>
      <c r="E1005" s="3" t="str">
        <f t="shared" si="320"/>
        <v>140</v>
      </c>
      <c r="F1005" s="3" t="str">
        <f t="shared" si="314"/>
        <v>100</v>
      </c>
      <c r="G1005" s="3" t="str">
        <f t="shared" si="331"/>
        <v>二级</v>
      </c>
    </row>
    <row r="1006" customHeight="1" spans="1:7">
      <c r="A1006" s="3" t="str">
        <f>"1004"</f>
        <v>1004</v>
      </c>
      <c r="B1006" s="3" t="s">
        <v>132</v>
      </c>
      <c r="C1006" s="3" t="str">
        <f>"暮云街道"</f>
        <v>暮云街道</v>
      </c>
      <c r="D1006" s="3" t="str">
        <f>"莲华村"</f>
        <v>莲华村</v>
      </c>
      <c r="E1006" s="3" t="str">
        <f t="shared" si="320"/>
        <v>140</v>
      </c>
      <c r="F1006" s="3" t="str">
        <f t="shared" si="314"/>
        <v>100</v>
      </c>
      <c r="G1006" s="3" t="str">
        <f t="shared" si="331"/>
        <v>二级</v>
      </c>
    </row>
    <row r="1007" customHeight="1" spans="1:7">
      <c r="A1007" s="3" t="str">
        <f>"1005"</f>
        <v>1005</v>
      </c>
      <c r="B1007" s="3" t="s">
        <v>408</v>
      </c>
      <c r="C1007" s="3" t="str">
        <f>"城南路街道"</f>
        <v>城南路街道</v>
      </c>
      <c r="D1007" s="3" t="str">
        <f>"熙台岭社区"</f>
        <v>熙台岭社区</v>
      </c>
      <c r="E1007" s="3" t="str">
        <f t="shared" si="320"/>
        <v>140</v>
      </c>
      <c r="F1007" s="3" t="str">
        <f t="shared" si="314"/>
        <v>100</v>
      </c>
      <c r="G1007" s="3" t="str">
        <f t="shared" si="332"/>
        <v>一级</v>
      </c>
    </row>
    <row r="1008" customHeight="1" spans="1:7">
      <c r="A1008" s="3" t="str">
        <f>"1006"</f>
        <v>1006</v>
      </c>
      <c r="B1008" s="3" t="s">
        <v>76</v>
      </c>
      <c r="C1008" s="3" t="str">
        <f t="shared" ref="C1008:C1013" si="333">"金盆岭街道"</f>
        <v>金盆岭街道</v>
      </c>
      <c r="D1008" s="3" t="str">
        <f>"狮子山社区"</f>
        <v>狮子山社区</v>
      </c>
      <c r="E1008" s="3" t="str">
        <f t="shared" si="320"/>
        <v>140</v>
      </c>
      <c r="F1008" s="3" t="str">
        <f t="shared" si="314"/>
        <v>100</v>
      </c>
      <c r="G1008" s="3" t="str">
        <f t="shared" si="332"/>
        <v>一级</v>
      </c>
    </row>
    <row r="1009" customHeight="1" spans="1:7">
      <c r="A1009" s="3" t="str">
        <f>"1007"</f>
        <v>1007</v>
      </c>
      <c r="B1009" s="3" t="s">
        <v>790</v>
      </c>
      <c r="C1009" s="3" t="str">
        <f t="shared" ref="C1009:C1014" si="334">"裕南街街道"</f>
        <v>裕南街街道</v>
      </c>
      <c r="D1009" s="3" t="str">
        <f>"南站社区"</f>
        <v>南站社区</v>
      </c>
      <c r="E1009" s="3" t="str">
        <f t="shared" si="320"/>
        <v>140</v>
      </c>
      <c r="F1009" s="3" t="str">
        <f t="shared" si="314"/>
        <v>100</v>
      </c>
      <c r="G1009" s="3" t="str">
        <f t="shared" ref="G1009:G1015" si="335">"二级"</f>
        <v>二级</v>
      </c>
    </row>
    <row r="1010" customHeight="1" spans="1:7">
      <c r="A1010" s="3" t="str">
        <f>"1008"</f>
        <v>1008</v>
      </c>
      <c r="B1010" s="3" t="s">
        <v>791</v>
      </c>
      <c r="C1010" s="3" t="str">
        <f>"城南路街道"</f>
        <v>城南路街道</v>
      </c>
      <c r="D1010" s="3" t="str">
        <f>"燕子岭社区"</f>
        <v>燕子岭社区</v>
      </c>
      <c r="E1010" s="3" t="str">
        <f t="shared" si="320"/>
        <v>140</v>
      </c>
      <c r="F1010" s="3" t="str">
        <f t="shared" si="314"/>
        <v>100</v>
      </c>
      <c r="G1010" s="3" t="str">
        <f t="shared" si="335"/>
        <v>二级</v>
      </c>
    </row>
    <row r="1011" customHeight="1" spans="1:7">
      <c r="A1011" s="3" t="str">
        <f>"1009"</f>
        <v>1009</v>
      </c>
      <c r="B1011" s="3" t="s">
        <v>792</v>
      </c>
      <c r="C1011" s="3" t="str">
        <f t="shared" si="333"/>
        <v>金盆岭街道</v>
      </c>
      <c r="D1011" s="3" t="str">
        <f>"黄土岭社区"</f>
        <v>黄土岭社区</v>
      </c>
      <c r="E1011" s="3" t="str">
        <f t="shared" si="320"/>
        <v>140</v>
      </c>
      <c r="F1011" s="3" t="str">
        <f t="shared" si="314"/>
        <v>100</v>
      </c>
      <c r="G1011" s="3" t="str">
        <f t="shared" si="335"/>
        <v>二级</v>
      </c>
    </row>
    <row r="1012" customHeight="1" spans="1:7">
      <c r="A1012" s="3" t="str">
        <f>"1010"</f>
        <v>1010</v>
      </c>
      <c r="B1012" s="3" t="s">
        <v>793</v>
      </c>
      <c r="C1012" s="3" t="str">
        <f t="shared" si="334"/>
        <v>裕南街街道</v>
      </c>
      <c r="D1012" s="3" t="str">
        <f>"火把山社区"</f>
        <v>火把山社区</v>
      </c>
      <c r="E1012" s="3" t="str">
        <f t="shared" si="320"/>
        <v>140</v>
      </c>
      <c r="F1012" s="3" t="str">
        <f t="shared" ref="F1012:F1075" si="336">"100"</f>
        <v>100</v>
      </c>
      <c r="G1012" s="3" t="str">
        <f t="shared" si="335"/>
        <v>二级</v>
      </c>
    </row>
    <row r="1013" customHeight="1" spans="1:7">
      <c r="A1013" s="3" t="str">
        <f>"1011"</f>
        <v>1011</v>
      </c>
      <c r="B1013" s="3" t="s">
        <v>256</v>
      </c>
      <c r="C1013" s="3" t="str">
        <f t="shared" si="333"/>
        <v>金盆岭街道</v>
      </c>
      <c r="D1013" s="3" t="str">
        <f>"天剑社区"</f>
        <v>天剑社区</v>
      </c>
      <c r="E1013" s="3" t="str">
        <f t="shared" si="320"/>
        <v>140</v>
      </c>
      <c r="F1013" s="3" t="str">
        <f t="shared" si="336"/>
        <v>100</v>
      </c>
      <c r="G1013" s="3" t="str">
        <f t="shared" si="335"/>
        <v>二级</v>
      </c>
    </row>
    <row r="1014" customHeight="1" spans="1:7">
      <c r="A1014" s="3" t="str">
        <f>"1012"</f>
        <v>1012</v>
      </c>
      <c r="B1014" s="3" t="s">
        <v>794</v>
      </c>
      <c r="C1014" s="3" t="str">
        <f t="shared" si="334"/>
        <v>裕南街街道</v>
      </c>
      <c r="D1014" s="3" t="str">
        <f>"宝塔山社区"</f>
        <v>宝塔山社区</v>
      </c>
      <c r="E1014" s="3" t="str">
        <f t="shared" si="320"/>
        <v>140</v>
      </c>
      <c r="F1014" s="3" t="str">
        <f t="shared" si="336"/>
        <v>100</v>
      </c>
      <c r="G1014" s="3" t="str">
        <f t="shared" si="335"/>
        <v>二级</v>
      </c>
    </row>
    <row r="1015" customHeight="1" spans="1:7">
      <c r="A1015" s="3" t="str">
        <f>"1013"</f>
        <v>1013</v>
      </c>
      <c r="B1015" s="3" t="s">
        <v>795</v>
      </c>
      <c r="C1015" s="3" t="str">
        <f>"文源街道"</f>
        <v>文源街道</v>
      </c>
      <c r="D1015" s="3" t="str">
        <f>"文源社区"</f>
        <v>文源社区</v>
      </c>
      <c r="E1015" s="3" t="str">
        <f t="shared" si="320"/>
        <v>140</v>
      </c>
      <c r="F1015" s="3" t="str">
        <f t="shared" si="336"/>
        <v>100</v>
      </c>
      <c r="G1015" s="3" t="str">
        <f t="shared" si="335"/>
        <v>二级</v>
      </c>
    </row>
    <row r="1016" customHeight="1" spans="1:7">
      <c r="A1016" s="3" t="str">
        <f>"1014"</f>
        <v>1014</v>
      </c>
      <c r="B1016" s="3" t="s">
        <v>796</v>
      </c>
      <c r="C1016" s="3" t="str">
        <f>"城南路街道"</f>
        <v>城南路街道</v>
      </c>
      <c r="D1016" s="3" t="str">
        <f>"白沙井社区"</f>
        <v>白沙井社区</v>
      </c>
      <c r="E1016" s="3" t="str">
        <f t="shared" si="320"/>
        <v>140</v>
      </c>
      <c r="F1016" s="3" t="str">
        <f t="shared" si="336"/>
        <v>100</v>
      </c>
      <c r="G1016" s="3" t="str">
        <f t="shared" ref="G1016:G1021" si="337">"一级"</f>
        <v>一级</v>
      </c>
    </row>
    <row r="1017" customHeight="1" spans="1:7">
      <c r="A1017" s="3" t="str">
        <f>"1015"</f>
        <v>1015</v>
      </c>
      <c r="B1017" s="3" t="s">
        <v>797</v>
      </c>
      <c r="C1017" s="3" t="str">
        <f t="shared" ref="C1017:C1021" si="338">"坡子街街道"</f>
        <v>坡子街街道</v>
      </c>
      <c r="D1017" s="3" t="str">
        <f>"楚湘社区"</f>
        <v>楚湘社区</v>
      </c>
      <c r="E1017" s="3" t="str">
        <f t="shared" si="320"/>
        <v>140</v>
      </c>
      <c r="F1017" s="3" t="str">
        <f t="shared" si="336"/>
        <v>100</v>
      </c>
      <c r="G1017" s="3" t="str">
        <f t="shared" ref="G1017:G1020" si="339">"二级"</f>
        <v>二级</v>
      </c>
    </row>
    <row r="1018" customHeight="1" spans="1:7">
      <c r="A1018" s="3" t="str">
        <f>"1016"</f>
        <v>1016</v>
      </c>
      <c r="B1018" s="3" t="s">
        <v>76</v>
      </c>
      <c r="C1018" s="3" t="str">
        <f>"赤岭路街道"</f>
        <v>赤岭路街道</v>
      </c>
      <c r="D1018" s="3" t="str">
        <f>"猴子石社区"</f>
        <v>猴子石社区</v>
      </c>
      <c r="E1018" s="3" t="str">
        <f t="shared" si="320"/>
        <v>140</v>
      </c>
      <c r="F1018" s="3" t="str">
        <f t="shared" si="336"/>
        <v>100</v>
      </c>
      <c r="G1018" s="3" t="str">
        <f t="shared" si="337"/>
        <v>一级</v>
      </c>
    </row>
    <row r="1019" customHeight="1" spans="1:7">
      <c r="A1019" s="3" t="str">
        <f>"1017"</f>
        <v>1017</v>
      </c>
      <c r="B1019" s="3" t="s">
        <v>798</v>
      </c>
      <c r="C1019" s="3" t="str">
        <f t="shared" si="338"/>
        <v>坡子街街道</v>
      </c>
      <c r="D1019" s="3" t="str">
        <f>"登仁桥社区"</f>
        <v>登仁桥社区</v>
      </c>
      <c r="E1019" s="3" t="str">
        <f t="shared" si="320"/>
        <v>140</v>
      </c>
      <c r="F1019" s="3" t="str">
        <f t="shared" si="336"/>
        <v>100</v>
      </c>
      <c r="G1019" s="3" t="str">
        <f t="shared" si="339"/>
        <v>二级</v>
      </c>
    </row>
    <row r="1020" customHeight="1" spans="1:7">
      <c r="A1020" s="3" t="str">
        <f>"1018"</f>
        <v>1018</v>
      </c>
      <c r="B1020" s="3" t="s">
        <v>799</v>
      </c>
      <c r="C1020" s="3" t="str">
        <f>"城南路街道"</f>
        <v>城南路街道</v>
      </c>
      <c r="D1020" s="3" t="str">
        <f>"熙台岭社区"</f>
        <v>熙台岭社区</v>
      </c>
      <c r="E1020" s="3" t="str">
        <f t="shared" si="320"/>
        <v>140</v>
      </c>
      <c r="F1020" s="3" t="str">
        <f t="shared" si="336"/>
        <v>100</v>
      </c>
      <c r="G1020" s="3" t="str">
        <f t="shared" si="339"/>
        <v>二级</v>
      </c>
    </row>
    <row r="1021" customHeight="1" spans="1:7">
      <c r="A1021" s="3" t="str">
        <f>"1019"</f>
        <v>1019</v>
      </c>
      <c r="B1021" s="3" t="s">
        <v>800</v>
      </c>
      <c r="C1021" s="3" t="str">
        <f t="shared" si="338"/>
        <v>坡子街街道</v>
      </c>
      <c r="D1021" s="3" t="str">
        <f>"坡子街社区"</f>
        <v>坡子街社区</v>
      </c>
      <c r="E1021" s="3" t="str">
        <f t="shared" si="320"/>
        <v>140</v>
      </c>
      <c r="F1021" s="3" t="str">
        <f t="shared" si="336"/>
        <v>100</v>
      </c>
      <c r="G1021" s="3" t="str">
        <f t="shared" si="337"/>
        <v>一级</v>
      </c>
    </row>
    <row r="1022" customHeight="1" spans="1:7">
      <c r="A1022" s="3" t="str">
        <f>"1020"</f>
        <v>1020</v>
      </c>
      <c r="B1022" s="3" t="s">
        <v>801</v>
      </c>
      <c r="C1022" s="3" t="str">
        <f>"赤岭路街道"</f>
        <v>赤岭路街道</v>
      </c>
      <c r="D1022" s="3" t="str">
        <f>"新丰社区"</f>
        <v>新丰社区</v>
      </c>
      <c r="E1022" s="3" t="str">
        <f t="shared" si="320"/>
        <v>140</v>
      </c>
      <c r="F1022" s="3" t="str">
        <f t="shared" si="336"/>
        <v>100</v>
      </c>
      <c r="G1022" s="3" t="str">
        <f t="shared" ref="G1022:G1029" si="340">"二级"</f>
        <v>二级</v>
      </c>
    </row>
    <row r="1023" customHeight="1" spans="1:7">
      <c r="A1023" s="3" t="str">
        <f>"1021"</f>
        <v>1021</v>
      </c>
      <c r="B1023" s="3" t="s">
        <v>802</v>
      </c>
      <c r="C1023" s="3" t="str">
        <f>"坡子街街道"</f>
        <v>坡子街街道</v>
      </c>
      <c r="D1023" s="3" t="str">
        <f>"青山祠社区"</f>
        <v>青山祠社区</v>
      </c>
      <c r="E1023" s="3" t="str">
        <f t="shared" si="320"/>
        <v>140</v>
      </c>
      <c r="F1023" s="3" t="str">
        <f t="shared" si="336"/>
        <v>100</v>
      </c>
      <c r="G1023" s="3" t="str">
        <f t="shared" si="340"/>
        <v>二级</v>
      </c>
    </row>
    <row r="1024" customHeight="1" spans="1:7">
      <c r="A1024" s="3" t="str">
        <f>"1022"</f>
        <v>1022</v>
      </c>
      <c r="B1024" s="3" t="s">
        <v>803</v>
      </c>
      <c r="C1024" s="3" t="str">
        <f>"坡子街街道"</f>
        <v>坡子街街道</v>
      </c>
      <c r="D1024" s="3" t="str">
        <f>"碧湘社区"</f>
        <v>碧湘社区</v>
      </c>
      <c r="E1024" s="3" t="str">
        <f t="shared" si="320"/>
        <v>140</v>
      </c>
      <c r="F1024" s="3" t="str">
        <f t="shared" si="336"/>
        <v>100</v>
      </c>
      <c r="G1024" s="3" t="str">
        <f t="shared" si="340"/>
        <v>二级</v>
      </c>
    </row>
    <row r="1025" customHeight="1" spans="1:7">
      <c r="A1025" s="3" t="str">
        <f>"1023"</f>
        <v>1023</v>
      </c>
      <c r="B1025" s="3" t="s">
        <v>804</v>
      </c>
      <c r="C1025" s="3" t="str">
        <f>"文源街道"</f>
        <v>文源街道</v>
      </c>
      <c r="D1025" s="3" t="str">
        <f>"文源社区"</f>
        <v>文源社区</v>
      </c>
      <c r="E1025" s="3" t="str">
        <f t="shared" si="320"/>
        <v>140</v>
      </c>
      <c r="F1025" s="3" t="str">
        <f t="shared" si="336"/>
        <v>100</v>
      </c>
      <c r="G1025" s="3" t="str">
        <f t="shared" si="340"/>
        <v>二级</v>
      </c>
    </row>
    <row r="1026" customHeight="1" spans="1:7">
      <c r="A1026" s="3" t="str">
        <f>"1024"</f>
        <v>1024</v>
      </c>
      <c r="B1026" s="3" t="s">
        <v>805</v>
      </c>
      <c r="C1026" s="3" t="str">
        <f>"青园街道"</f>
        <v>青园街道</v>
      </c>
      <c r="D1026" s="3" t="str">
        <f>"井湾子社区"</f>
        <v>井湾子社区</v>
      </c>
      <c r="E1026" s="3" t="str">
        <f t="shared" si="320"/>
        <v>140</v>
      </c>
      <c r="F1026" s="3" t="str">
        <f t="shared" si="336"/>
        <v>100</v>
      </c>
      <c r="G1026" s="3" t="str">
        <f t="shared" si="340"/>
        <v>二级</v>
      </c>
    </row>
    <row r="1027" customHeight="1" spans="1:7">
      <c r="A1027" s="3" t="str">
        <f>"1025"</f>
        <v>1025</v>
      </c>
      <c r="B1027" s="3" t="s">
        <v>806</v>
      </c>
      <c r="C1027" s="3" t="str">
        <f>"裕南街街道"</f>
        <v>裕南街街道</v>
      </c>
      <c r="D1027" s="3" t="str">
        <f>"宝塔山社区"</f>
        <v>宝塔山社区</v>
      </c>
      <c r="E1027" s="3" t="str">
        <f t="shared" ref="E1027:E1090" si="341">"140"</f>
        <v>140</v>
      </c>
      <c r="F1027" s="3" t="str">
        <f t="shared" si="336"/>
        <v>100</v>
      </c>
      <c r="G1027" s="3" t="str">
        <f t="shared" si="340"/>
        <v>二级</v>
      </c>
    </row>
    <row r="1028" customHeight="1" spans="1:7">
      <c r="A1028" s="3" t="str">
        <f>"1026"</f>
        <v>1026</v>
      </c>
      <c r="B1028" s="3" t="s">
        <v>807</v>
      </c>
      <c r="C1028" s="3" t="str">
        <f>"青园街道"</f>
        <v>青园街道</v>
      </c>
      <c r="D1028" s="3" t="str">
        <f>"友谊社区"</f>
        <v>友谊社区</v>
      </c>
      <c r="E1028" s="3" t="str">
        <f t="shared" si="341"/>
        <v>140</v>
      </c>
      <c r="F1028" s="3" t="str">
        <f t="shared" si="336"/>
        <v>100</v>
      </c>
      <c r="G1028" s="3" t="str">
        <f t="shared" si="340"/>
        <v>二级</v>
      </c>
    </row>
    <row r="1029" customHeight="1" spans="1:7">
      <c r="A1029" s="3" t="str">
        <f>"1027"</f>
        <v>1027</v>
      </c>
      <c r="B1029" s="3" t="s">
        <v>428</v>
      </c>
      <c r="C1029" s="3" t="str">
        <f>"裕南街街道"</f>
        <v>裕南街街道</v>
      </c>
      <c r="D1029" s="3" t="str">
        <f>"火把山社区"</f>
        <v>火把山社区</v>
      </c>
      <c r="E1029" s="3" t="str">
        <f t="shared" si="341"/>
        <v>140</v>
      </c>
      <c r="F1029" s="3" t="str">
        <f t="shared" si="336"/>
        <v>100</v>
      </c>
      <c r="G1029" s="3" t="str">
        <f t="shared" si="340"/>
        <v>二级</v>
      </c>
    </row>
    <row r="1030" customHeight="1" spans="1:7">
      <c r="A1030" s="3" t="str">
        <f>"1028"</f>
        <v>1028</v>
      </c>
      <c r="B1030" s="3" t="s">
        <v>808</v>
      </c>
      <c r="C1030" s="3" t="str">
        <f>"先锋街道"</f>
        <v>先锋街道</v>
      </c>
      <c r="D1030" s="3" t="str">
        <f>"嘉和社区"</f>
        <v>嘉和社区</v>
      </c>
      <c r="E1030" s="3" t="str">
        <f t="shared" si="341"/>
        <v>140</v>
      </c>
      <c r="F1030" s="3" t="str">
        <f t="shared" si="336"/>
        <v>100</v>
      </c>
      <c r="G1030" s="3" t="str">
        <f t="shared" ref="G1030:G1033" si="342">"一级"</f>
        <v>一级</v>
      </c>
    </row>
    <row r="1031" customHeight="1" spans="1:7">
      <c r="A1031" s="3" t="str">
        <f>"1029"</f>
        <v>1029</v>
      </c>
      <c r="B1031" s="3" t="s">
        <v>809</v>
      </c>
      <c r="C1031" s="3" t="str">
        <f>"南托街道"</f>
        <v>南托街道</v>
      </c>
      <c r="D1031" s="3" t="str">
        <f>"牛角塘村"</f>
        <v>牛角塘村</v>
      </c>
      <c r="E1031" s="3" t="str">
        <f t="shared" si="341"/>
        <v>140</v>
      </c>
      <c r="F1031" s="3" t="str">
        <f t="shared" si="336"/>
        <v>100</v>
      </c>
      <c r="G1031" s="3" t="str">
        <f t="shared" si="342"/>
        <v>一级</v>
      </c>
    </row>
    <row r="1032" customHeight="1" spans="1:7">
      <c r="A1032" s="3" t="str">
        <f>"1030"</f>
        <v>1030</v>
      </c>
      <c r="B1032" s="3" t="s">
        <v>72</v>
      </c>
      <c r="C1032" s="3" t="str">
        <f>"南托街道"</f>
        <v>南托街道</v>
      </c>
      <c r="D1032" s="3" t="str">
        <f>"北塘社区"</f>
        <v>北塘社区</v>
      </c>
      <c r="E1032" s="3" t="str">
        <f t="shared" si="341"/>
        <v>140</v>
      </c>
      <c r="F1032" s="3" t="str">
        <f t="shared" si="336"/>
        <v>100</v>
      </c>
      <c r="G1032" s="3" t="str">
        <f t="shared" ref="G1032:G1036" si="343">"二级"</f>
        <v>二级</v>
      </c>
    </row>
    <row r="1033" customHeight="1" spans="1:7">
      <c r="A1033" s="3" t="str">
        <f>"1031"</f>
        <v>1031</v>
      </c>
      <c r="B1033" s="3" t="s">
        <v>810</v>
      </c>
      <c r="C1033" s="3" t="str">
        <f>"暮云街道"</f>
        <v>暮云街道</v>
      </c>
      <c r="D1033" s="3" t="str">
        <f>"暮云社区"</f>
        <v>暮云社区</v>
      </c>
      <c r="E1033" s="3" t="str">
        <f t="shared" si="341"/>
        <v>140</v>
      </c>
      <c r="F1033" s="3" t="str">
        <f t="shared" si="336"/>
        <v>100</v>
      </c>
      <c r="G1033" s="3" t="str">
        <f t="shared" si="342"/>
        <v>一级</v>
      </c>
    </row>
    <row r="1034" customHeight="1" spans="1:7">
      <c r="A1034" s="3" t="str">
        <f>"1032"</f>
        <v>1032</v>
      </c>
      <c r="B1034" s="3" t="s">
        <v>811</v>
      </c>
      <c r="C1034" s="3" t="str">
        <f>"城南路街道"</f>
        <v>城南路街道</v>
      </c>
      <c r="D1034" s="3" t="str">
        <f>"燕子岭社区"</f>
        <v>燕子岭社区</v>
      </c>
      <c r="E1034" s="3" t="str">
        <f t="shared" si="341"/>
        <v>140</v>
      </c>
      <c r="F1034" s="3" t="str">
        <f t="shared" si="336"/>
        <v>100</v>
      </c>
      <c r="G1034" s="3" t="str">
        <f t="shared" si="343"/>
        <v>二级</v>
      </c>
    </row>
    <row r="1035" customHeight="1" spans="1:7">
      <c r="A1035" s="3" t="str">
        <f>"1033"</f>
        <v>1033</v>
      </c>
      <c r="B1035" s="3" t="s">
        <v>812</v>
      </c>
      <c r="C1035" s="3" t="str">
        <f>"青园街道"</f>
        <v>青园街道</v>
      </c>
      <c r="D1035" s="3" t="str">
        <f>"友谊社区"</f>
        <v>友谊社区</v>
      </c>
      <c r="E1035" s="3" t="str">
        <f t="shared" si="341"/>
        <v>140</v>
      </c>
      <c r="F1035" s="3" t="str">
        <f t="shared" si="336"/>
        <v>100</v>
      </c>
      <c r="G1035" s="3" t="str">
        <f>"一级"</f>
        <v>一级</v>
      </c>
    </row>
    <row r="1036" customHeight="1" spans="1:7">
      <c r="A1036" s="3" t="str">
        <f>"1034"</f>
        <v>1034</v>
      </c>
      <c r="B1036" s="3" t="s">
        <v>80</v>
      </c>
      <c r="C1036" s="3" t="str">
        <f>"裕南街街道"</f>
        <v>裕南街街道</v>
      </c>
      <c r="D1036" s="3" t="str">
        <f>"向东南社区"</f>
        <v>向东南社区</v>
      </c>
      <c r="E1036" s="3" t="str">
        <f t="shared" si="341"/>
        <v>140</v>
      </c>
      <c r="F1036" s="3" t="str">
        <f t="shared" si="336"/>
        <v>100</v>
      </c>
      <c r="G1036" s="3" t="str">
        <f t="shared" si="343"/>
        <v>二级</v>
      </c>
    </row>
    <row r="1037" customHeight="1" spans="1:7">
      <c r="A1037" s="3" t="str">
        <f>"1035"</f>
        <v>1035</v>
      </c>
      <c r="B1037" s="3" t="s">
        <v>813</v>
      </c>
      <c r="C1037" s="3" t="str">
        <f t="shared" ref="C1037:C1042" si="344">"新开铺街道"</f>
        <v>新开铺街道</v>
      </c>
      <c r="D1037" s="3" t="str">
        <f>"新天村委会"</f>
        <v>新天村委会</v>
      </c>
      <c r="E1037" s="3" t="str">
        <f t="shared" si="341"/>
        <v>140</v>
      </c>
      <c r="F1037" s="3" t="str">
        <f t="shared" si="336"/>
        <v>100</v>
      </c>
      <c r="G1037" s="3" t="str">
        <f>"一级"</f>
        <v>一级</v>
      </c>
    </row>
    <row r="1038" customHeight="1" spans="1:7">
      <c r="A1038" s="3" t="str">
        <f>"1036"</f>
        <v>1036</v>
      </c>
      <c r="B1038" s="3" t="s">
        <v>32</v>
      </c>
      <c r="C1038" s="3" t="str">
        <f>"大托铺街道"</f>
        <v>大托铺街道</v>
      </c>
      <c r="D1038" s="3" t="str">
        <f>"新港村委会"</f>
        <v>新港村委会</v>
      </c>
      <c r="E1038" s="3" t="str">
        <f t="shared" si="341"/>
        <v>140</v>
      </c>
      <c r="F1038" s="3" t="str">
        <f t="shared" si="336"/>
        <v>100</v>
      </c>
      <c r="G1038" s="3" t="str">
        <f t="shared" ref="G1038:G1040" si="345">"二级"</f>
        <v>二级</v>
      </c>
    </row>
    <row r="1039" customHeight="1" spans="1:7">
      <c r="A1039" s="3" t="str">
        <f>"1037"</f>
        <v>1037</v>
      </c>
      <c r="B1039" s="3" t="s">
        <v>717</v>
      </c>
      <c r="C1039" s="3" t="str">
        <f>"暮云街道"</f>
        <v>暮云街道</v>
      </c>
      <c r="D1039" s="3" t="str">
        <f>"暮云新村"</f>
        <v>暮云新村</v>
      </c>
      <c r="E1039" s="3" t="str">
        <f t="shared" si="341"/>
        <v>140</v>
      </c>
      <c r="F1039" s="3" t="str">
        <f t="shared" si="336"/>
        <v>100</v>
      </c>
      <c r="G1039" s="3" t="str">
        <f t="shared" si="345"/>
        <v>二级</v>
      </c>
    </row>
    <row r="1040" customHeight="1" spans="1:7">
      <c r="A1040" s="3" t="str">
        <f>"1038"</f>
        <v>1038</v>
      </c>
      <c r="B1040" s="3" t="s">
        <v>193</v>
      </c>
      <c r="C1040" s="3" t="str">
        <f>"青园街道"</f>
        <v>青园街道</v>
      </c>
      <c r="D1040" s="3" t="str">
        <f>"井湾子社区"</f>
        <v>井湾子社区</v>
      </c>
      <c r="E1040" s="3" t="str">
        <f t="shared" si="341"/>
        <v>140</v>
      </c>
      <c r="F1040" s="3" t="str">
        <f t="shared" si="336"/>
        <v>100</v>
      </c>
      <c r="G1040" s="3" t="str">
        <f t="shared" si="345"/>
        <v>二级</v>
      </c>
    </row>
    <row r="1041" customHeight="1" spans="1:7">
      <c r="A1041" s="3" t="str">
        <f>"1039"</f>
        <v>1039</v>
      </c>
      <c r="B1041" s="3" t="s">
        <v>814</v>
      </c>
      <c r="C1041" s="3" t="str">
        <f t="shared" si="344"/>
        <v>新开铺街道</v>
      </c>
      <c r="D1041" s="3" t="str">
        <f>"桥头社区"</f>
        <v>桥头社区</v>
      </c>
      <c r="E1041" s="3" t="str">
        <f t="shared" si="341"/>
        <v>140</v>
      </c>
      <c r="F1041" s="3" t="str">
        <f t="shared" si="336"/>
        <v>100</v>
      </c>
      <c r="G1041" s="3" t="str">
        <f>"一级"</f>
        <v>一级</v>
      </c>
    </row>
    <row r="1042" customHeight="1" spans="1:7">
      <c r="A1042" s="3" t="str">
        <f>"1040"</f>
        <v>1040</v>
      </c>
      <c r="B1042" s="3" t="s">
        <v>815</v>
      </c>
      <c r="C1042" s="3" t="str">
        <f t="shared" si="344"/>
        <v>新开铺街道</v>
      </c>
      <c r="D1042" s="3" t="str">
        <f>"豹子岭社区"</f>
        <v>豹子岭社区</v>
      </c>
      <c r="E1042" s="3" t="str">
        <f t="shared" si="341"/>
        <v>140</v>
      </c>
      <c r="F1042" s="3" t="str">
        <f t="shared" si="336"/>
        <v>100</v>
      </c>
      <c r="G1042" s="3" t="str">
        <f t="shared" ref="G1042:G1044" si="346">"二级"</f>
        <v>二级</v>
      </c>
    </row>
    <row r="1043" customHeight="1" spans="1:7">
      <c r="A1043" s="3" t="str">
        <f>"1041"</f>
        <v>1041</v>
      </c>
      <c r="B1043" s="3" t="s">
        <v>816</v>
      </c>
      <c r="C1043" s="3" t="str">
        <f>"南托街道"</f>
        <v>南托街道</v>
      </c>
      <c r="D1043" s="3" t="str">
        <f>"牛角塘村"</f>
        <v>牛角塘村</v>
      </c>
      <c r="E1043" s="3" t="str">
        <f t="shared" si="341"/>
        <v>140</v>
      </c>
      <c r="F1043" s="3" t="str">
        <f t="shared" si="336"/>
        <v>100</v>
      </c>
      <c r="G1043" s="3" t="str">
        <f t="shared" si="346"/>
        <v>二级</v>
      </c>
    </row>
    <row r="1044" customHeight="1" spans="1:7">
      <c r="A1044" s="3" t="str">
        <f>"1042"</f>
        <v>1042</v>
      </c>
      <c r="B1044" s="3" t="s">
        <v>817</v>
      </c>
      <c r="C1044" s="3" t="str">
        <f>"暮云街道"</f>
        <v>暮云街道</v>
      </c>
      <c r="D1044" s="3" t="str">
        <f>"暮云社区"</f>
        <v>暮云社区</v>
      </c>
      <c r="E1044" s="3" t="str">
        <f t="shared" si="341"/>
        <v>140</v>
      </c>
      <c r="F1044" s="3" t="str">
        <f t="shared" si="336"/>
        <v>100</v>
      </c>
      <c r="G1044" s="3" t="str">
        <f t="shared" si="346"/>
        <v>二级</v>
      </c>
    </row>
    <row r="1045" customHeight="1" spans="1:7">
      <c r="A1045" s="3" t="str">
        <f>"1043"</f>
        <v>1043</v>
      </c>
      <c r="B1045" s="3" t="s">
        <v>818</v>
      </c>
      <c r="C1045" s="3" t="str">
        <f t="shared" ref="C1045:C1050" si="347">"坡子街街道"</f>
        <v>坡子街街道</v>
      </c>
      <c r="D1045" s="3" t="str">
        <f>"登仁桥社区"</f>
        <v>登仁桥社区</v>
      </c>
      <c r="E1045" s="3" t="str">
        <f t="shared" si="341"/>
        <v>140</v>
      </c>
      <c r="F1045" s="3" t="str">
        <f t="shared" si="336"/>
        <v>100</v>
      </c>
      <c r="G1045" s="3" t="str">
        <f>"一级"</f>
        <v>一级</v>
      </c>
    </row>
    <row r="1046" customHeight="1" spans="1:7">
      <c r="A1046" s="3" t="str">
        <f>"1044"</f>
        <v>1044</v>
      </c>
      <c r="B1046" s="3" t="s">
        <v>819</v>
      </c>
      <c r="C1046" s="3" t="str">
        <f t="shared" si="347"/>
        <v>坡子街街道</v>
      </c>
      <c r="D1046" s="3" t="str">
        <f t="shared" ref="D1046:D1048" si="348">"文庙坪社区"</f>
        <v>文庙坪社区</v>
      </c>
      <c r="E1046" s="3" t="str">
        <f t="shared" si="341"/>
        <v>140</v>
      </c>
      <c r="F1046" s="3" t="str">
        <f t="shared" si="336"/>
        <v>100</v>
      </c>
      <c r="G1046" s="3" t="str">
        <f t="shared" ref="G1046:G1051" si="349">"二级"</f>
        <v>二级</v>
      </c>
    </row>
    <row r="1047" customHeight="1" spans="1:7">
      <c r="A1047" s="3" t="str">
        <f>"1045"</f>
        <v>1045</v>
      </c>
      <c r="B1047" s="3" t="s">
        <v>820</v>
      </c>
      <c r="C1047" s="3" t="str">
        <f t="shared" si="347"/>
        <v>坡子街街道</v>
      </c>
      <c r="D1047" s="3" t="str">
        <f t="shared" si="348"/>
        <v>文庙坪社区</v>
      </c>
      <c r="E1047" s="3" t="str">
        <f t="shared" si="341"/>
        <v>140</v>
      </c>
      <c r="F1047" s="3" t="str">
        <f t="shared" si="336"/>
        <v>100</v>
      </c>
      <c r="G1047" s="3" t="str">
        <f t="shared" si="349"/>
        <v>二级</v>
      </c>
    </row>
    <row r="1048" customHeight="1" spans="1:7">
      <c r="A1048" s="3" t="str">
        <f>"1046"</f>
        <v>1046</v>
      </c>
      <c r="B1048" s="3" t="s">
        <v>502</v>
      </c>
      <c r="C1048" s="3" t="str">
        <f t="shared" si="347"/>
        <v>坡子街街道</v>
      </c>
      <c r="D1048" s="3" t="str">
        <f t="shared" si="348"/>
        <v>文庙坪社区</v>
      </c>
      <c r="E1048" s="3" t="str">
        <f t="shared" si="341"/>
        <v>140</v>
      </c>
      <c r="F1048" s="3" t="str">
        <f t="shared" si="336"/>
        <v>100</v>
      </c>
      <c r="G1048" s="3" t="str">
        <f t="shared" ref="G1048:G1054" si="350">"一级"</f>
        <v>一级</v>
      </c>
    </row>
    <row r="1049" customHeight="1" spans="1:7">
      <c r="A1049" s="3" t="str">
        <f>"1047"</f>
        <v>1047</v>
      </c>
      <c r="B1049" s="3" t="s">
        <v>821</v>
      </c>
      <c r="C1049" s="3" t="str">
        <f t="shared" si="347"/>
        <v>坡子街街道</v>
      </c>
      <c r="D1049" s="3" t="str">
        <f>"登仁桥社区"</f>
        <v>登仁桥社区</v>
      </c>
      <c r="E1049" s="3" t="str">
        <f t="shared" si="341"/>
        <v>140</v>
      </c>
      <c r="F1049" s="3" t="str">
        <f t="shared" si="336"/>
        <v>100</v>
      </c>
      <c r="G1049" s="3" t="str">
        <f t="shared" si="349"/>
        <v>二级</v>
      </c>
    </row>
    <row r="1050" customHeight="1" spans="1:7">
      <c r="A1050" s="3" t="str">
        <f>"1048"</f>
        <v>1048</v>
      </c>
      <c r="B1050" s="3" t="s">
        <v>126</v>
      </c>
      <c r="C1050" s="3" t="str">
        <f t="shared" si="347"/>
        <v>坡子街街道</v>
      </c>
      <c r="D1050" s="3" t="str">
        <f>"青山祠社区"</f>
        <v>青山祠社区</v>
      </c>
      <c r="E1050" s="3" t="str">
        <f t="shared" si="341"/>
        <v>140</v>
      </c>
      <c r="F1050" s="3" t="str">
        <f t="shared" si="336"/>
        <v>100</v>
      </c>
      <c r="G1050" s="3" t="str">
        <f t="shared" si="349"/>
        <v>二级</v>
      </c>
    </row>
    <row r="1051" customHeight="1" spans="1:7">
      <c r="A1051" s="3" t="str">
        <f>"1049"</f>
        <v>1049</v>
      </c>
      <c r="B1051" s="3" t="s">
        <v>822</v>
      </c>
      <c r="C1051" s="3" t="str">
        <f>"新开铺街道"</f>
        <v>新开铺街道</v>
      </c>
      <c r="D1051" s="3" t="str">
        <f>"新天社区"</f>
        <v>新天社区</v>
      </c>
      <c r="E1051" s="3" t="str">
        <f t="shared" si="341"/>
        <v>140</v>
      </c>
      <c r="F1051" s="3" t="str">
        <f t="shared" si="336"/>
        <v>100</v>
      </c>
      <c r="G1051" s="3" t="str">
        <f t="shared" si="349"/>
        <v>二级</v>
      </c>
    </row>
    <row r="1052" customHeight="1" spans="1:7">
      <c r="A1052" s="3" t="str">
        <f>"1050"</f>
        <v>1050</v>
      </c>
      <c r="B1052" s="3" t="s">
        <v>352</v>
      </c>
      <c r="C1052" s="3" t="str">
        <f>"金盆岭街道"</f>
        <v>金盆岭街道</v>
      </c>
      <c r="D1052" s="3" t="str">
        <f>"天剑社区"</f>
        <v>天剑社区</v>
      </c>
      <c r="E1052" s="3" t="str">
        <f t="shared" si="341"/>
        <v>140</v>
      </c>
      <c r="F1052" s="3" t="str">
        <f t="shared" si="336"/>
        <v>100</v>
      </c>
      <c r="G1052" s="3" t="str">
        <f t="shared" si="350"/>
        <v>一级</v>
      </c>
    </row>
    <row r="1053" customHeight="1" spans="1:7">
      <c r="A1053" s="3" t="str">
        <f>"1051"</f>
        <v>1051</v>
      </c>
      <c r="B1053" s="3" t="s">
        <v>823</v>
      </c>
      <c r="C1053" s="3" t="str">
        <f t="shared" ref="C1053:C1061" si="351">"坡子街街道"</f>
        <v>坡子街街道</v>
      </c>
      <c r="D1053" s="3" t="str">
        <f>"坡子街社区"</f>
        <v>坡子街社区</v>
      </c>
      <c r="E1053" s="3" t="str">
        <f t="shared" si="341"/>
        <v>140</v>
      </c>
      <c r="F1053" s="3" t="str">
        <f t="shared" si="336"/>
        <v>100</v>
      </c>
      <c r="G1053" s="3" t="str">
        <f t="shared" si="350"/>
        <v>一级</v>
      </c>
    </row>
    <row r="1054" customHeight="1" spans="1:7">
      <c r="A1054" s="3" t="str">
        <f>"1052"</f>
        <v>1052</v>
      </c>
      <c r="B1054" s="3" t="s">
        <v>824</v>
      </c>
      <c r="C1054" s="3" t="str">
        <f t="shared" si="351"/>
        <v>坡子街街道</v>
      </c>
      <c r="D1054" s="3" t="str">
        <f t="shared" ref="D1054:D1059" si="352">"登仁桥社区"</f>
        <v>登仁桥社区</v>
      </c>
      <c r="E1054" s="3" t="str">
        <f t="shared" si="341"/>
        <v>140</v>
      </c>
      <c r="F1054" s="3" t="str">
        <f t="shared" si="336"/>
        <v>100</v>
      </c>
      <c r="G1054" s="3" t="str">
        <f t="shared" si="350"/>
        <v>一级</v>
      </c>
    </row>
    <row r="1055" customHeight="1" spans="1:7">
      <c r="A1055" s="3" t="str">
        <f>"1053"</f>
        <v>1053</v>
      </c>
      <c r="B1055" s="3" t="s">
        <v>825</v>
      </c>
      <c r="C1055" s="3" t="str">
        <f t="shared" si="351"/>
        <v>坡子街街道</v>
      </c>
      <c r="D1055" s="3" t="str">
        <f t="shared" si="352"/>
        <v>登仁桥社区</v>
      </c>
      <c r="E1055" s="3" t="str">
        <f t="shared" si="341"/>
        <v>140</v>
      </c>
      <c r="F1055" s="3" t="str">
        <f t="shared" si="336"/>
        <v>100</v>
      </c>
      <c r="G1055" s="3" t="str">
        <f t="shared" ref="G1055:G1058" si="353">"二级"</f>
        <v>二级</v>
      </c>
    </row>
    <row r="1056" customHeight="1" spans="1:7">
      <c r="A1056" s="3" t="str">
        <f>"1054"</f>
        <v>1054</v>
      </c>
      <c r="B1056" s="3" t="s">
        <v>826</v>
      </c>
      <c r="C1056" s="3" t="str">
        <f t="shared" si="351"/>
        <v>坡子街街道</v>
      </c>
      <c r="D1056" s="3" t="str">
        <f>"西牌楼社区"</f>
        <v>西牌楼社区</v>
      </c>
      <c r="E1056" s="3" t="str">
        <f t="shared" si="341"/>
        <v>140</v>
      </c>
      <c r="F1056" s="3" t="str">
        <f t="shared" si="336"/>
        <v>100</v>
      </c>
      <c r="G1056" s="3" t="str">
        <f t="shared" si="353"/>
        <v>二级</v>
      </c>
    </row>
    <row r="1057" customHeight="1" spans="1:7">
      <c r="A1057" s="3" t="str">
        <f>"1055"</f>
        <v>1055</v>
      </c>
      <c r="B1057" s="3" t="s">
        <v>827</v>
      </c>
      <c r="C1057" s="3" t="str">
        <f t="shared" si="351"/>
        <v>坡子街街道</v>
      </c>
      <c r="D1057" s="3" t="str">
        <f>"文庙坪社区"</f>
        <v>文庙坪社区</v>
      </c>
      <c r="E1057" s="3" t="str">
        <f t="shared" si="341"/>
        <v>140</v>
      </c>
      <c r="F1057" s="3" t="str">
        <f t="shared" si="336"/>
        <v>100</v>
      </c>
      <c r="G1057" s="3" t="str">
        <f t="shared" si="353"/>
        <v>二级</v>
      </c>
    </row>
    <row r="1058" customHeight="1" spans="1:7">
      <c r="A1058" s="3" t="str">
        <f>"1056"</f>
        <v>1056</v>
      </c>
      <c r="B1058" s="3" t="s">
        <v>828</v>
      </c>
      <c r="C1058" s="3" t="str">
        <f t="shared" si="351"/>
        <v>坡子街街道</v>
      </c>
      <c r="D1058" s="3" t="str">
        <f t="shared" si="352"/>
        <v>登仁桥社区</v>
      </c>
      <c r="E1058" s="3" t="str">
        <f t="shared" si="341"/>
        <v>140</v>
      </c>
      <c r="F1058" s="3" t="str">
        <f t="shared" si="336"/>
        <v>100</v>
      </c>
      <c r="G1058" s="3" t="str">
        <f t="shared" si="353"/>
        <v>二级</v>
      </c>
    </row>
    <row r="1059" customHeight="1" spans="1:7">
      <c r="A1059" s="3" t="str">
        <f>"1057"</f>
        <v>1057</v>
      </c>
      <c r="B1059" s="3" t="s">
        <v>829</v>
      </c>
      <c r="C1059" s="3" t="str">
        <f t="shared" si="351"/>
        <v>坡子街街道</v>
      </c>
      <c r="D1059" s="3" t="str">
        <f t="shared" si="352"/>
        <v>登仁桥社区</v>
      </c>
      <c r="E1059" s="3" t="str">
        <f t="shared" si="341"/>
        <v>140</v>
      </c>
      <c r="F1059" s="3" t="str">
        <f t="shared" si="336"/>
        <v>100</v>
      </c>
      <c r="G1059" s="3" t="str">
        <f t="shared" ref="G1059:G1063" si="354">"一级"</f>
        <v>一级</v>
      </c>
    </row>
    <row r="1060" customHeight="1" spans="1:7">
      <c r="A1060" s="3" t="str">
        <f>"1058"</f>
        <v>1058</v>
      </c>
      <c r="B1060" s="3" t="s">
        <v>830</v>
      </c>
      <c r="C1060" s="3" t="str">
        <f t="shared" si="351"/>
        <v>坡子街街道</v>
      </c>
      <c r="D1060" s="3" t="str">
        <f>"西牌楼社区"</f>
        <v>西牌楼社区</v>
      </c>
      <c r="E1060" s="3" t="str">
        <f t="shared" si="341"/>
        <v>140</v>
      </c>
      <c r="F1060" s="3" t="str">
        <f t="shared" si="336"/>
        <v>100</v>
      </c>
      <c r="G1060" s="3" t="str">
        <f t="shared" ref="G1060:G1068" si="355">"二级"</f>
        <v>二级</v>
      </c>
    </row>
    <row r="1061" customHeight="1" spans="1:7">
      <c r="A1061" s="3" t="str">
        <f>"1059"</f>
        <v>1059</v>
      </c>
      <c r="B1061" s="3" t="s">
        <v>13</v>
      </c>
      <c r="C1061" s="3" t="str">
        <f t="shared" si="351"/>
        <v>坡子街街道</v>
      </c>
      <c r="D1061" s="3" t="str">
        <f>"登仁桥社区"</f>
        <v>登仁桥社区</v>
      </c>
      <c r="E1061" s="3" t="str">
        <f t="shared" si="341"/>
        <v>140</v>
      </c>
      <c r="F1061" s="3" t="str">
        <f t="shared" si="336"/>
        <v>100</v>
      </c>
      <c r="G1061" s="3" t="str">
        <f t="shared" si="354"/>
        <v>一级</v>
      </c>
    </row>
    <row r="1062" customHeight="1" spans="1:7">
      <c r="A1062" s="3" t="str">
        <f>"1060"</f>
        <v>1060</v>
      </c>
      <c r="B1062" s="3" t="s">
        <v>831</v>
      </c>
      <c r="C1062" s="3" t="str">
        <f>"赤岭路街道"</f>
        <v>赤岭路街道</v>
      </c>
      <c r="D1062" s="3" t="str">
        <f>"南大桥社区"</f>
        <v>南大桥社区</v>
      </c>
      <c r="E1062" s="3" t="str">
        <f t="shared" si="341"/>
        <v>140</v>
      </c>
      <c r="F1062" s="3" t="str">
        <f t="shared" si="336"/>
        <v>100</v>
      </c>
      <c r="G1062" s="3" t="str">
        <f t="shared" si="355"/>
        <v>二级</v>
      </c>
    </row>
    <row r="1063" customHeight="1" spans="1:7">
      <c r="A1063" s="3" t="str">
        <f>"1061"</f>
        <v>1061</v>
      </c>
      <c r="B1063" s="3" t="s">
        <v>832</v>
      </c>
      <c r="C1063" s="3" t="str">
        <f t="shared" ref="C1063:C1068" si="356">"坡子街街道"</f>
        <v>坡子街街道</v>
      </c>
      <c r="D1063" s="3" t="str">
        <f>"文庙坪社区"</f>
        <v>文庙坪社区</v>
      </c>
      <c r="E1063" s="3" t="str">
        <f t="shared" si="341"/>
        <v>140</v>
      </c>
      <c r="F1063" s="3" t="str">
        <f t="shared" si="336"/>
        <v>100</v>
      </c>
      <c r="G1063" s="3" t="str">
        <f t="shared" si="354"/>
        <v>一级</v>
      </c>
    </row>
    <row r="1064" customHeight="1" spans="1:7">
      <c r="A1064" s="3" t="str">
        <f>"1062"</f>
        <v>1062</v>
      </c>
      <c r="B1064" s="3" t="s">
        <v>35</v>
      </c>
      <c r="C1064" s="3" t="str">
        <f t="shared" si="356"/>
        <v>坡子街街道</v>
      </c>
      <c r="D1064" s="3" t="str">
        <f>"文庙坪社区"</f>
        <v>文庙坪社区</v>
      </c>
      <c r="E1064" s="3" t="str">
        <f t="shared" si="341"/>
        <v>140</v>
      </c>
      <c r="F1064" s="3" t="str">
        <f t="shared" si="336"/>
        <v>100</v>
      </c>
      <c r="G1064" s="3" t="str">
        <f t="shared" si="355"/>
        <v>二级</v>
      </c>
    </row>
    <row r="1065" customHeight="1" spans="1:7">
      <c r="A1065" s="3" t="str">
        <f>"1063"</f>
        <v>1063</v>
      </c>
      <c r="B1065" s="3" t="s">
        <v>833</v>
      </c>
      <c r="C1065" s="3" t="str">
        <f>"城南路街道"</f>
        <v>城南路街道</v>
      </c>
      <c r="D1065" s="3" t="str">
        <f>"古道巷社区"</f>
        <v>古道巷社区</v>
      </c>
      <c r="E1065" s="3" t="str">
        <f t="shared" si="341"/>
        <v>140</v>
      </c>
      <c r="F1065" s="3" t="str">
        <f t="shared" si="336"/>
        <v>100</v>
      </c>
      <c r="G1065" s="3" t="str">
        <f t="shared" si="355"/>
        <v>二级</v>
      </c>
    </row>
    <row r="1066" customHeight="1" spans="1:7">
      <c r="A1066" s="3" t="str">
        <f>"1064"</f>
        <v>1064</v>
      </c>
      <c r="B1066" s="3" t="s">
        <v>125</v>
      </c>
      <c r="C1066" s="3" t="str">
        <f>"裕南街街道"</f>
        <v>裕南街街道</v>
      </c>
      <c r="D1066" s="3" t="str">
        <f>"裕南街社区"</f>
        <v>裕南街社区</v>
      </c>
      <c r="E1066" s="3" t="str">
        <f t="shared" si="341"/>
        <v>140</v>
      </c>
      <c r="F1066" s="3" t="str">
        <f t="shared" si="336"/>
        <v>100</v>
      </c>
      <c r="G1066" s="3" t="str">
        <f t="shared" si="355"/>
        <v>二级</v>
      </c>
    </row>
    <row r="1067" customHeight="1" spans="1:7">
      <c r="A1067" s="3" t="str">
        <f>"1065"</f>
        <v>1065</v>
      </c>
      <c r="B1067" s="3" t="s">
        <v>834</v>
      </c>
      <c r="C1067" s="3" t="str">
        <f t="shared" si="356"/>
        <v>坡子街街道</v>
      </c>
      <c r="D1067" s="3" t="str">
        <f>"碧湘社区"</f>
        <v>碧湘社区</v>
      </c>
      <c r="E1067" s="3" t="str">
        <f t="shared" si="341"/>
        <v>140</v>
      </c>
      <c r="F1067" s="3" t="str">
        <f t="shared" si="336"/>
        <v>100</v>
      </c>
      <c r="G1067" s="3" t="str">
        <f t="shared" si="355"/>
        <v>二级</v>
      </c>
    </row>
    <row r="1068" customHeight="1" spans="1:7">
      <c r="A1068" s="3" t="str">
        <f>"1066"</f>
        <v>1066</v>
      </c>
      <c r="B1068" s="3" t="s">
        <v>418</v>
      </c>
      <c r="C1068" s="3" t="str">
        <f t="shared" si="356"/>
        <v>坡子街街道</v>
      </c>
      <c r="D1068" s="3" t="str">
        <f>"西牌楼社区"</f>
        <v>西牌楼社区</v>
      </c>
      <c r="E1068" s="3" t="str">
        <f t="shared" si="341"/>
        <v>140</v>
      </c>
      <c r="F1068" s="3" t="str">
        <f t="shared" si="336"/>
        <v>100</v>
      </c>
      <c r="G1068" s="3" t="str">
        <f t="shared" si="355"/>
        <v>二级</v>
      </c>
    </row>
    <row r="1069" customHeight="1" spans="1:7">
      <c r="A1069" s="3" t="str">
        <f>"1067"</f>
        <v>1067</v>
      </c>
      <c r="B1069" s="3" t="s">
        <v>773</v>
      </c>
      <c r="C1069" s="3" t="str">
        <f>"金盆岭街道"</f>
        <v>金盆岭街道</v>
      </c>
      <c r="D1069" s="3" t="str">
        <f>"赤岭路社区"</f>
        <v>赤岭路社区</v>
      </c>
      <c r="E1069" s="3" t="str">
        <f t="shared" si="341"/>
        <v>140</v>
      </c>
      <c r="F1069" s="3" t="str">
        <f t="shared" si="336"/>
        <v>100</v>
      </c>
      <c r="G1069" s="3" t="str">
        <f>"一级"</f>
        <v>一级</v>
      </c>
    </row>
    <row r="1070" customHeight="1" spans="1:7">
      <c r="A1070" s="3" t="str">
        <f>"1068"</f>
        <v>1068</v>
      </c>
      <c r="B1070" s="3" t="s">
        <v>258</v>
      </c>
      <c r="C1070" s="3" t="str">
        <f t="shared" ref="C1070:C1074" si="357">"坡子街街道"</f>
        <v>坡子街街道</v>
      </c>
      <c r="D1070" s="3" t="str">
        <f>"西湖社区"</f>
        <v>西湖社区</v>
      </c>
      <c r="E1070" s="3" t="str">
        <f t="shared" si="341"/>
        <v>140</v>
      </c>
      <c r="F1070" s="3" t="str">
        <f t="shared" si="336"/>
        <v>100</v>
      </c>
      <c r="G1070" s="3" t="str">
        <f t="shared" ref="G1070:G1077" si="358">"二级"</f>
        <v>二级</v>
      </c>
    </row>
    <row r="1071" customHeight="1" spans="1:7">
      <c r="A1071" s="3" t="str">
        <f>"1069"</f>
        <v>1069</v>
      </c>
      <c r="B1071" s="3" t="s">
        <v>835</v>
      </c>
      <c r="C1071" s="3" t="str">
        <f>"新开铺街道"</f>
        <v>新开铺街道</v>
      </c>
      <c r="D1071" s="3" t="str">
        <f>"新开铺社区"</f>
        <v>新开铺社区</v>
      </c>
      <c r="E1071" s="3" t="str">
        <f t="shared" si="341"/>
        <v>140</v>
      </c>
      <c r="F1071" s="3" t="str">
        <f t="shared" si="336"/>
        <v>100</v>
      </c>
      <c r="G1071" s="3" t="str">
        <f t="shared" si="358"/>
        <v>二级</v>
      </c>
    </row>
    <row r="1072" customHeight="1" spans="1:7">
      <c r="A1072" s="3" t="str">
        <f>"1070"</f>
        <v>1070</v>
      </c>
      <c r="B1072" s="3" t="s">
        <v>420</v>
      </c>
      <c r="C1072" s="3" t="str">
        <f>"裕南街街道"</f>
        <v>裕南街街道</v>
      </c>
      <c r="D1072" s="3" t="str">
        <f>"石子冲社区"</f>
        <v>石子冲社区</v>
      </c>
      <c r="E1072" s="3" t="str">
        <f t="shared" si="341"/>
        <v>140</v>
      </c>
      <c r="F1072" s="3" t="str">
        <f t="shared" si="336"/>
        <v>100</v>
      </c>
      <c r="G1072" s="3" t="str">
        <f t="shared" si="358"/>
        <v>二级</v>
      </c>
    </row>
    <row r="1073" customHeight="1" spans="1:7">
      <c r="A1073" s="3" t="str">
        <f>"1071"</f>
        <v>1071</v>
      </c>
      <c r="B1073" s="3" t="s">
        <v>836</v>
      </c>
      <c r="C1073" s="3" t="str">
        <f t="shared" si="357"/>
        <v>坡子街街道</v>
      </c>
      <c r="D1073" s="3" t="str">
        <f>"创远社区"</f>
        <v>创远社区</v>
      </c>
      <c r="E1073" s="3" t="str">
        <f t="shared" si="341"/>
        <v>140</v>
      </c>
      <c r="F1073" s="3" t="str">
        <f t="shared" si="336"/>
        <v>100</v>
      </c>
      <c r="G1073" s="3" t="str">
        <f t="shared" si="358"/>
        <v>二级</v>
      </c>
    </row>
    <row r="1074" customHeight="1" spans="1:7">
      <c r="A1074" s="3" t="str">
        <f>"1072"</f>
        <v>1072</v>
      </c>
      <c r="B1074" s="3" t="s">
        <v>837</v>
      </c>
      <c r="C1074" s="3" t="str">
        <f t="shared" si="357"/>
        <v>坡子街街道</v>
      </c>
      <c r="D1074" s="3" t="str">
        <f>"青山祠社区"</f>
        <v>青山祠社区</v>
      </c>
      <c r="E1074" s="3" t="str">
        <f t="shared" si="341"/>
        <v>140</v>
      </c>
      <c r="F1074" s="3" t="str">
        <f t="shared" si="336"/>
        <v>100</v>
      </c>
      <c r="G1074" s="3" t="str">
        <f t="shared" si="358"/>
        <v>二级</v>
      </c>
    </row>
    <row r="1075" customHeight="1" spans="1:7">
      <c r="A1075" s="3" t="str">
        <f>"1073"</f>
        <v>1073</v>
      </c>
      <c r="B1075" s="3" t="s">
        <v>556</v>
      </c>
      <c r="C1075" s="3" t="str">
        <f>"裕南街街道"</f>
        <v>裕南街街道</v>
      </c>
      <c r="D1075" s="3" t="str">
        <f>"火把山社区"</f>
        <v>火把山社区</v>
      </c>
      <c r="E1075" s="3" t="str">
        <f t="shared" si="341"/>
        <v>140</v>
      </c>
      <c r="F1075" s="3" t="str">
        <f t="shared" si="336"/>
        <v>100</v>
      </c>
      <c r="G1075" s="3" t="str">
        <f t="shared" si="358"/>
        <v>二级</v>
      </c>
    </row>
    <row r="1076" customHeight="1" spans="1:7">
      <c r="A1076" s="3" t="str">
        <f>"1074"</f>
        <v>1074</v>
      </c>
      <c r="B1076" s="3" t="s">
        <v>146</v>
      </c>
      <c r="C1076" s="3" t="str">
        <f>"城南路街道"</f>
        <v>城南路街道</v>
      </c>
      <c r="D1076" s="3" t="str">
        <f>"熙台岭社区"</f>
        <v>熙台岭社区</v>
      </c>
      <c r="E1076" s="3" t="str">
        <f t="shared" si="341"/>
        <v>140</v>
      </c>
      <c r="F1076" s="3" t="str">
        <f t="shared" ref="F1076:F1139" si="359">"100"</f>
        <v>100</v>
      </c>
      <c r="G1076" s="3" t="str">
        <f t="shared" si="358"/>
        <v>二级</v>
      </c>
    </row>
    <row r="1077" customHeight="1" spans="1:7">
      <c r="A1077" s="3" t="str">
        <f>"1075"</f>
        <v>1075</v>
      </c>
      <c r="B1077" s="3" t="s">
        <v>681</v>
      </c>
      <c r="C1077" s="3" t="str">
        <f>"青园街道"</f>
        <v>青园街道</v>
      </c>
      <c r="D1077" s="3" t="str">
        <f>"青园社区"</f>
        <v>青园社区</v>
      </c>
      <c r="E1077" s="3" t="str">
        <f t="shared" si="341"/>
        <v>140</v>
      </c>
      <c r="F1077" s="3" t="str">
        <f t="shared" si="359"/>
        <v>100</v>
      </c>
      <c r="G1077" s="3" t="str">
        <f t="shared" si="358"/>
        <v>二级</v>
      </c>
    </row>
    <row r="1078" customHeight="1" spans="1:7">
      <c r="A1078" s="3" t="str">
        <f>"1076"</f>
        <v>1076</v>
      </c>
      <c r="B1078" s="3" t="s">
        <v>838</v>
      </c>
      <c r="C1078" s="3" t="str">
        <f>"赤岭路街道"</f>
        <v>赤岭路街道</v>
      </c>
      <c r="D1078" s="3" t="str">
        <f>"南大桥社区"</f>
        <v>南大桥社区</v>
      </c>
      <c r="E1078" s="3" t="str">
        <f t="shared" si="341"/>
        <v>140</v>
      </c>
      <c r="F1078" s="3" t="str">
        <f t="shared" si="359"/>
        <v>100</v>
      </c>
      <c r="G1078" s="3" t="str">
        <f t="shared" ref="G1078:G1080" si="360">"一级"</f>
        <v>一级</v>
      </c>
    </row>
    <row r="1079" customHeight="1" spans="1:7">
      <c r="A1079" s="3" t="str">
        <f>"1077"</f>
        <v>1077</v>
      </c>
      <c r="B1079" s="3" t="s">
        <v>839</v>
      </c>
      <c r="C1079" s="3" t="str">
        <f t="shared" ref="C1079:C1081" si="361">"坡子街街道"</f>
        <v>坡子街街道</v>
      </c>
      <c r="D1079" s="3" t="str">
        <f>"文庙坪社区"</f>
        <v>文庙坪社区</v>
      </c>
      <c r="E1079" s="3" t="str">
        <f t="shared" si="341"/>
        <v>140</v>
      </c>
      <c r="F1079" s="3" t="str">
        <f t="shared" si="359"/>
        <v>100</v>
      </c>
      <c r="G1079" s="3" t="str">
        <f t="shared" si="360"/>
        <v>一级</v>
      </c>
    </row>
    <row r="1080" customHeight="1" spans="1:7">
      <c r="A1080" s="3" t="str">
        <f>"1078"</f>
        <v>1078</v>
      </c>
      <c r="B1080" s="3" t="s">
        <v>840</v>
      </c>
      <c r="C1080" s="3" t="str">
        <f t="shared" si="361"/>
        <v>坡子街街道</v>
      </c>
      <c r="D1080" s="3" t="str">
        <f>"坡子街社区"</f>
        <v>坡子街社区</v>
      </c>
      <c r="E1080" s="3" t="str">
        <f t="shared" si="341"/>
        <v>140</v>
      </c>
      <c r="F1080" s="3" t="str">
        <f t="shared" si="359"/>
        <v>100</v>
      </c>
      <c r="G1080" s="3" t="str">
        <f t="shared" si="360"/>
        <v>一级</v>
      </c>
    </row>
    <row r="1081" customHeight="1" spans="1:7">
      <c r="A1081" s="3" t="str">
        <f>"1079"</f>
        <v>1079</v>
      </c>
      <c r="B1081" s="3" t="s">
        <v>841</v>
      </c>
      <c r="C1081" s="3" t="str">
        <f t="shared" si="361"/>
        <v>坡子街街道</v>
      </c>
      <c r="D1081" s="3" t="str">
        <f>"创远社区"</f>
        <v>创远社区</v>
      </c>
      <c r="E1081" s="3" t="str">
        <f t="shared" si="341"/>
        <v>140</v>
      </c>
      <c r="F1081" s="3" t="str">
        <f t="shared" si="359"/>
        <v>100</v>
      </c>
      <c r="G1081" s="3" t="str">
        <f t="shared" ref="G1081:G1085" si="362">"二级"</f>
        <v>二级</v>
      </c>
    </row>
    <row r="1082" customHeight="1" spans="1:7">
      <c r="A1082" s="3" t="str">
        <f>"1080"</f>
        <v>1080</v>
      </c>
      <c r="B1082" s="3" t="s">
        <v>842</v>
      </c>
      <c r="C1082" s="3" t="str">
        <f>"城南路街道"</f>
        <v>城南路街道</v>
      </c>
      <c r="D1082" s="3" t="str">
        <f>"吴家坪社区"</f>
        <v>吴家坪社区</v>
      </c>
      <c r="E1082" s="3" t="str">
        <f t="shared" si="341"/>
        <v>140</v>
      </c>
      <c r="F1082" s="3" t="str">
        <f t="shared" si="359"/>
        <v>100</v>
      </c>
      <c r="G1082" s="3" t="str">
        <f>"一级"</f>
        <v>一级</v>
      </c>
    </row>
    <row r="1083" customHeight="1" spans="1:7">
      <c r="A1083" s="3" t="str">
        <f>"1081"</f>
        <v>1081</v>
      </c>
      <c r="B1083" s="3" t="s">
        <v>146</v>
      </c>
      <c r="C1083" s="3" t="str">
        <f>"金盆岭街道"</f>
        <v>金盆岭街道</v>
      </c>
      <c r="D1083" s="3" t="str">
        <f>"赤岭路社区"</f>
        <v>赤岭路社区</v>
      </c>
      <c r="E1083" s="3" t="str">
        <f t="shared" si="341"/>
        <v>140</v>
      </c>
      <c r="F1083" s="3" t="str">
        <f t="shared" si="359"/>
        <v>100</v>
      </c>
      <c r="G1083" s="3" t="str">
        <f t="shared" si="362"/>
        <v>二级</v>
      </c>
    </row>
    <row r="1084" customHeight="1" spans="1:7">
      <c r="A1084" s="3" t="str">
        <f>"1082"</f>
        <v>1082</v>
      </c>
      <c r="B1084" s="3" t="s">
        <v>843</v>
      </c>
      <c r="C1084" s="3" t="str">
        <f>"赤岭路街道"</f>
        <v>赤岭路街道</v>
      </c>
      <c r="D1084" s="3" t="str">
        <f>"新丰社区"</f>
        <v>新丰社区</v>
      </c>
      <c r="E1084" s="3" t="str">
        <f t="shared" si="341"/>
        <v>140</v>
      </c>
      <c r="F1084" s="3" t="str">
        <f t="shared" si="359"/>
        <v>100</v>
      </c>
      <c r="G1084" s="3" t="str">
        <f t="shared" si="362"/>
        <v>二级</v>
      </c>
    </row>
    <row r="1085" customHeight="1" spans="1:7">
      <c r="A1085" s="3" t="str">
        <f>"1083"</f>
        <v>1083</v>
      </c>
      <c r="B1085" s="3" t="s">
        <v>844</v>
      </c>
      <c r="C1085" s="3" t="str">
        <f>"裕南街街道"</f>
        <v>裕南街街道</v>
      </c>
      <c r="D1085" s="3" t="str">
        <f>"仰天湖社区"</f>
        <v>仰天湖社区</v>
      </c>
      <c r="E1085" s="3" t="str">
        <f t="shared" si="341"/>
        <v>140</v>
      </c>
      <c r="F1085" s="3" t="str">
        <f t="shared" si="359"/>
        <v>100</v>
      </c>
      <c r="G1085" s="3" t="str">
        <f t="shared" si="362"/>
        <v>二级</v>
      </c>
    </row>
    <row r="1086" customHeight="1" spans="1:7">
      <c r="A1086" s="3" t="str">
        <f>"1084"</f>
        <v>1084</v>
      </c>
      <c r="B1086" s="3" t="s">
        <v>845</v>
      </c>
      <c r="C1086" s="3" t="str">
        <f>"坡子街街道"</f>
        <v>坡子街街道</v>
      </c>
      <c r="D1086" s="3" t="str">
        <f>"青山祠社区"</f>
        <v>青山祠社区</v>
      </c>
      <c r="E1086" s="3" t="str">
        <f t="shared" si="341"/>
        <v>140</v>
      </c>
      <c r="F1086" s="3" t="str">
        <f t="shared" si="359"/>
        <v>100</v>
      </c>
      <c r="G1086" s="3" t="str">
        <f t="shared" ref="G1086:G1091" si="363">"一级"</f>
        <v>一级</v>
      </c>
    </row>
    <row r="1087" customHeight="1" spans="1:7">
      <c r="A1087" s="3" t="str">
        <f>"1085"</f>
        <v>1085</v>
      </c>
      <c r="B1087" s="3" t="s">
        <v>76</v>
      </c>
      <c r="C1087" s="3" t="str">
        <f>"新开铺街道"</f>
        <v>新开铺街道</v>
      </c>
      <c r="D1087" s="3" t="str">
        <f>"新开铺社区"</f>
        <v>新开铺社区</v>
      </c>
      <c r="E1087" s="3" t="str">
        <f t="shared" si="341"/>
        <v>140</v>
      </c>
      <c r="F1087" s="3" t="str">
        <f t="shared" si="359"/>
        <v>100</v>
      </c>
      <c r="G1087" s="3" t="str">
        <f t="shared" ref="G1087:G1090" si="364">"二级"</f>
        <v>二级</v>
      </c>
    </row>
    <row r="1088" customHeight="1" spans="1:7">
      <c r="A1088" s="3" t="str">
        <f>"1086"</f>
        <v>1086</v>
      </c>
      <c r="B1088" s="3" t="s">
        <v>846</v>
      </c>
      <c r="C1088" s="3" t="str">
        <f t="shared" ref="C1088:C1091" si="365">"城南路街道"</f>
        <v>城南路街道</v>
      </c>
      <c r="D1088" s="3" t="str">
        <f>"燕子岭社区"</f>
        <v>燕子岭社区</v>
      </c>
      <c r="E1088" s="3" t="str">
        <f t="shared" si="341"/>
        <v>140</v>
      </c>
      <c r="F1088" s="3" t="str">
        <f t="shared" si="359"/>
        <v>100</v>
      </c>
      <c r="G1088" s="3" t="str">
        <f t="shared" si="363"/>
        <v>一级</v>
      </c>
    </row>
    <row r="1089" customHeight="1" spans="1:7">
      <c r="A1089" s="3" t="str">
        <f>"1087"</f>
        <v>1087</v>
      </c>
      <c r="B1089" s="3" t="s">
        <v>847</v>
      </c>
      <c r="C1089" s="3" t="str">
        <f t="shared" ref="C1089:C1093" si="366">"裕南街街道"</f>
        <v>裕南街街道</v>
      </c>
      <c r="D1089" s="3" t="str">
        <f>"宝塔山社区"</f>
        <v>宝塔山社区</v>
      </c>
      <c r="E1089" s="3" t="str">
        <f t="shared" si="341"/>
        <v>140</v>
      </c>
      <c r="F1089" s="3" t="str">
        <f t="shared" si="359"/>
        <v>100</v>
      </c>
      <c r="G1089" s="3" t="str">
        <f t="shared" si="364"/>
        <v>二级</v>
      </c>
    </row>
    <row r="1090" customHeight="1" spans="1:7">
      <c r="A1090" s="3" t="str">
        <f>"1088"</f>
        <v>1088</v>
      </c>
      <c r="B1090" s="3" t="s">
        <v>848</v>
      </c>
      <c r="C1090" s="3" t="str">
        <f t="shared" si="365"/>
        <v>城南路街道</v>
      </c>
      <c r="D1090" s="3" t="str">
        <f>"燕子岭社区"</f>
        <v>燕子岭社区</v>
      </c>
      <c r="E1090" s="3" t="str">
        <f t="shared" si="341"/>
        <v>140</v>
      </c>
      <c r="F1090" s="3" t="str">
        <f t="shared" si="359"/>
        <v>100</v>
      </c>
      <c r="G1090" s="3" t="str">
        <f t="shared" si="364"/>
        <v>二级</v>
      </c>
    </row>
    <row r="1091" customHeight="1" spans="1:7">
      <c r="A1091" s="3" t="str">
        <f>"1089"</f>
        <v>1089</v>
      </c>
      <c r="B1091" s="3" t="s">
        <v>849</v>
      </c>
      <c r="C1091" s="3" t="str">
        <f t="shared" si="365"/>
        <v>城南路街道</v>
      </c>
      <c r="D1091" s="3" t="str">
        <f>"古道巷社区"</f>
        <v>古道巷社区</v>
      </c>
      <c r="E1091" s="3" t="str">
        <f t="shared" ref="E1091:E1154" si="367">"140"</f>
        <v>140</v>
      </c>
      <c r="F1091" s="3" t="str">
        <f t="shared" si="359"/>
        <v>100</v>
      </c>
      <c r="G1091" s="3" t="str">
        <f t="shared" si="363"/>
        <v>一级</v>
      </c>
    </row>
    <row r="1092" customHeight="1" spans="1:7">
      <c r="A1092" s="3" t="str">
        <f>"1090"</f>
        <v>1090</v>
      </c>
      <c r="B1092" s="3" t="s">
        <v>850</v>
      </c>
      <c r="C1092" s="3" t="str">
        <f t="shared" si="366"/>
        <v>裕南街街道</v>
      </c>
      <c r="D1092" s="3" t="str">
        <f>"向东南社区"</f>
        <v>向东南社区</v>
      </c>
      <c r="E1092" s="3" t="str">
        <f t="shared" si="367"/>
        <v>140</v>
      </c>
      <c r="F1092" s="3" t="str">
        <f t="shared" si="359"/>
        <v>100</v>
      </c>
      <c r="G1092" s="3" t="str">
        <f t="shared" ref="G1092:G1098" si="368">"二级"</f>
        <v>二级</v>
      </c>
    </row>
    <row r="1093" customHeight="1" spans="1:7">
      <c r="A1093" s="3" t="str">
        <f>"1091"</f>
        <v>1091</v>
      </c>
      <c r="B1093" s="3" t="s">
        <v>563</v>
      </c>
      <c r="C1093" s="3" t="str">
        <f t="shared" si="366"/>
        <v>裕南街街道</v>
      </c>
      <c r="D1093" s="3" t="str">
        <f>"裕南街社区"</f>
        <v>裕南街社区</v>
      </c>
      <c r="E1093" s="3" t="str">
        <f t="shared" si="367"/>
        <v>140</v>
      </c>
      <c r="F1093" s="3" t="str">
        <f t="shared" si="359"/>
        <v>100</v>
      </c>
      <c r="G1093" s="3" t="str">
        <f t="shared" si="368"/>
        <v>二级</v>
      </c>
    </row>
    <row r="1094" customHeight="1" spans="1:7">
      <c r="A1094" s="3" t="str">
        <f>"1092"</f>
        <v>1092</v>
      </c>
      <c r="B1094" s="3" t="s">
        <v>851</v>
      </c>
      <c r="C1094" s="3" t="str">
        <f t="shared" ref="C1094:C1097" si="369">"新开铺街道"</f>
        <v>新开铺街道</v>
      </c>
      <c r="D1094" s="3" t="str">
        <f>"新开铺社区"</f>
        <v>新开铺社区</v>
      </c>
      <c r="E1094" s="3" t="str">
        <f t="shared" si="367"/>
        <v>140</v>
      </c>
      <c r="F1094" s="3" t="str">
        <f t="shared" si="359"/>
        <v>100</v>
      </c>
      <c r="G1094" s="3" t="str">
        <f t="shared" si="368"/>
        <v>二级</v>
      </c>
    </row>
    <row r="1095" customHeight="1" spans="1:7">
      <c r="A1095" s="3" t="str">
        <f>"1093"</f>
        <v>1093</v>
      </c>
      <c r="B1095" s="3" t="s">
        <v>852</v>
      </c>
      <c r="C1095" s="3" t="str">
        <f>"金盆岭街道"</f>
        <v>金盆岭街道</v>
      </c>
      <c r="D1095" s="3" t="str">
        <f>"狮子山社区"</f>
        <v>狮子山社区</v>
      </c>
      <c r="E1095" s="3" t="str">
        <f t="shared" si="367"/>
        <v>140</v>
      </c>
      <c r="F1095" s="3" t="str">
        <f t="shared" si="359"/>
        <v>100</v>
      </c>
      <c r="G1095" s="3" t="str">
        <f t="shared" si="368"/>
        <v>二级</v>
      </c>
    </row>
    <row r="1096" customHeight="1" spans="1:7">
      <c r="A1096" s="3" t="str">
        <f>"1094"</f>
        <v>1094</v>
      </c>
      <c r="B1096" s="3" t="s">
        <v>853</v>
      </c>
      <c r="C1096" s="3" t="str">
        <f t="shared" si="369"/>
        <v>新开铺街道</v>
      </c>
      <c r="D1096" s="3" t="str">
        <f>"新开铺社区"</f>
        <v>新开铺社区</v>
      </c>
      <c r="E1096" s="3" t="str">
        <f t="shared" si="367"/>
        <v>140</v>
      </c>
      <c r="F1096" s="3" t="str">
        <f t="shared" si="359"/>
        <v>100</v>
      </c>
      <c r="G1096" s="3" t="str">
        <f t="shared" si="368"/>
        <v>二级</v>
      </c>
    </row>
    <row r="1097" customHeight="1" spans="1:7">
      <c r="A1097" s="3" t="str">
        <f>"1095"</f>
        <v>1095</v>
      </c>
      <c r="B1097" s="3" t="s">
        <v>854</v>
      </c>
      <c r="C1097" s="3" t="str">
        <f t="shared" si="369"/>
        <v>新开铺街道</v>
      </c>
      <c r="D1097" s="3" t="str">
        <f>"桥头社区"</f>
        <v>桥头社区</v>
      </c>
      <c r="E1097" s="3" t="str">
        <f t="shared" si="367"/>
        <v>140</v>
      </c>
      <c r="F1097" s="3" t="str">
        <f t="shared" si="359"/>
        <v>100</v>
      </c>
      <c r="G1097" s="3" t="str">
        <f t="shared" si="368"/>
        <v>二级</v>
      </c>
    </row>
    <row r="1098" customHeight="1" spans="1:7">
      <c r="A1098" s="3" t="str">
        <f>"1096"</f>
        <v>1096</v>
      </c>
      <c r="B1098" s="3" t="s">
        <v>32</v>
      </c>
      <c r="C1098" s="3" t="str">
        <f>"坡子街街道"</f>
        <v>坡子街街道</v>
      </c>
      <c r="D1098" s="3" t="str">
        <f>"西牌楼社区"</f>
        <v>西牌楼社区</v>
      </c>
      <c r="E1098" s="3" t="str">
        <f t="shared" si="367"/>
        <v>140</v>
      </c>
      <c r="F1098" s="3" t="str">
        <f t="shared" si="359"/>
        <v>100</v>
      </c>
      <c r="G1098" s="3" t="str">
        <f t="shared" si="368"/>
        <v>二级</v>
      </c>
    </row>
    <row r="1099" customHeight="1" spans="1:7">
      <c r="A1099" s="3" t="str">
        <f>"1097"</f>
        <v>1097</v>
      </c>
      <c r="B1099" s="3" t="s">
        <v>76</v>
      </c>
      <c r="C1099" s="3" t="str">
        <f>"金盆岭街道"</f>
        <v>金盆岭街道</v>
      </c>
      <c r="D1099" s="3" t="str">
        <f>"涂新社区"</f>
        <v>涂新社区</v>
      </c>
      <c r="E1099" s="3" t="str">
        <f t="shared" si="367"/>
        <v>140</v>
      </c>
      <c r="F1099" s="3" t="str">
        <f t="shared" si="359"/>
        <v>100</v>
      </c>
      <c r="G1099" s="3" t="str">
        <f t="shared" ref="G1099:G1103" si="370">"一级"</f>
        <v>一级</v>
      </c>
    </row>
    <row r="1100" customHeight="1" spans="1:7">
      <c r="A1100" s="3" t="str">
        <f>"1098"</f>
        <v>1098</v>
      </c>
      <c r="B1100" s="3" t="s">
        <v>855</v>
      </c>
      <c r="C1100" s="3" t="str">
        <f>"坡子街街道"</f>
        <v>坡子街街道</v>
      </c>
      <c r="D1100" s="3" t="str">
        <f>"楚湘社区"</f>
        <v>楚湘社区</v>
      </c>
      <c r="E1100" s="3" t="str">
        <f t="shared" si="367"/>
        <v>140</v>
      </c>
      <c r="F1100" s="3" t="str">
        <f t="shared" si="359"/>
        <v>100</v>
      </c>
      <c r="G1100" s="3" t="str">
        <f t="shared" ref="G1100:G1106" si="371">"二级"</f>
        <v>二级</v>
      </c>
    </row>
    <row r="1101" customHeight="1" spans="1:7">
      <c r="A1101" s="3" t="str">
        <f>"1099"</f>
        <v>1099</v>
      </c>
      <c r="B1101" s="3" t="s">
        <v>856</v>
      </c>
      <c r="C1101" s="3" t="str">
        <f>"裕南街街道"</f>
        <v>裕南街街道</v>
      </c>
      <c r="D1101" s="3" t="str">
        <f>"火把山社区"</f>
        <v>火把山社区</v>
      </c>
      <c r="E1101" s="3" t="str">
        <f t="shared" si="367"/>
        <v>140</v>
      </c>
      <c r="F1101" s="3" t="str">
        <f t="shared" si="359"/>
        <v>100</v>
      </c>
      <c r="G1101" s="3" t="str">
        <f t="shared" si="371"/>
        <v>二级</v>
      </c>
    </row>
    <row r="1102" customHeight="1" spans="1:7">
      <c r="A1102" s="3" t="str">
        <f>"1100"</f>
        <v>1100</v>
      </c>
      <c r="B1102" s="3" t="s">
        <v>857</v>
      </c>
      <c r="C1102" s="3" t="str">
        <f>"裕南街街道"</f>
        <v>裕南街街道</v>
      </c>
      <c r="D1102" s="3" t="str">
        <f>"东瓜山社区"</f>
        <v>东瓜山社区</v>
      </c>
      <c r="E1102" s="3" t="str">
        <f t="shared" si="367"/>
        <v>140</v>
      </c>
      <c r="F1102" s="3" t="str">
        <f t="shared" si="359"/>
        <v>100</v>
      </c>
      <c r="G1102" s="3" t="str">
        <f t="shared" si="370"/>
        <v>一级</v>
      </c>
    </row>
    <row r="1103" customHeight="1" spans="1:7">
      <c r="A1103" s="3" t="str">
        <f>"1101"</f>
        <v>1101</v>
      </c>
      <c r="B1103" s="3" t="s">
        <v>858</v>
      </c>
      <c r="C1103" s="3" t="str">
        <f>"城南路街道"</f>
        <v>城南路街道</v>
      </c>
      <c r="D1103" s="3" t="str">
        <f>"城南中路社区"</f>
        <v>城南中路社区</v>
      </c>
      <c r="E1103" s="3" t="str">
        <f t="shared" si="367"/>
        <v>140</v>
      </c>
      <c r="F1103" s="3" t="str">
        <f t="shared" si="359"/>
        <v>100</v>
      </c>
      <c r="G1103" s="3" t="str">
        <f t="shared" si="370"/>
        <v>一级</v>
      </c>
    </row>
    <row r="1104" customHeight="1" spans="1:7">
      <c r="A1104" s="3" t="str">
        <f>"1102"</f>
        <v>1102</v>
      </c>
      <c r="B1104" s="3" t="s">
        <v>859</v>
      </c>
      <c r="C1104" s="3" t="str">
        <f t="shared" ref="C1104:C1109" si="372">"南托街道"</f>
        <v>南托街道</v>
      </c>
      <c r="D1104" s="3" t="str">
        <f>"牛角塘村"</f>
        <v>牛角塘村</v>
      </c>
      <c r="E1104" s="3" t="str">
        <f t="shared" si="367"/>
        <v>140</v>
      </c>
      <c r="F1104" s="3" t="str">
        <f t="shared" si="359"/>
        <v>100</v>
      </c>
      <c r="G1104" s="3" t="str">
        <f t="shared" si="371"/>
        <v>二级</v>
      </c>
    </row>
    <row r="1105" customHeight="1" spans="1:7">
      <c r="A1105" s="3" t="str">
        <f>"1103"</f>
        <v>1103</v>
      </c>
      <c r="B1105" s="3" t="s">
        <v>146</v>
      </c>
      <c r="C1105" s="3" t="str">
        <f t="shared" si="372"/>
        <v>南托街道</v>
      </c>
      <c r="D1105" s="3" t="str">
        <f>"滨洲新村"</f>
        <v>滨洲新村</v>
      </c>
      <c r="E1105" s="3" t="str">
        <f t="shared" si="367"/>
        <v>140</v>
      </c>
      <c r="F1105" s="3" t="str">
        <f t="shared" si="359"/>
        <v>100</v>
      </c>
      <c r="G1105" s="3" t="str">
        <f t="shared" si="371"/>
        <v>二级</v>
      </c>
    </row>
    <row r="1106" customHeight="1" spans="1:7">
      <c r="A1106" s="3" t="str">
        <f>"1104"</f>
        <v>1104</v>
      </c>
      <c r="B1106" s="3" t="s">
        <v>860</v>
      </c>
      <c r="C1106" s="3" t="str">
        <f>"暮云街道"</f>
        <v>暮云街道</v>
      </c>
      <c r="D1106" s="3" t="str">
        <f>"莲华村"</f>
        <v>莲华村</v>
      </c>
      <c r="E1106" s="3" t="str">
        <f t="shared" si="367"/>
        <v>140</v>
      </c>
      <c r="F1106" s="3" t="str">
        <f t="shared" si="359"/>
        <v>100</v>
      </c>
      <c r="G1106" s="3" t="str">
        <f t="shared" si="371"/>
        <v>二级</v>
      </c>
    </row>
    <row r="1107" customHeight="1" spans="1:7">
      <c r="A1107" s="3" t="str">
        <f>"1105"</f>
        <v>1105</v>
      </c>
      <c r="B1107" s="3" t="s">
        <v>826</v>
      </c>
      <c r="C1107" s="3" t="str">
        <f>"裕南街街道"</f>
        <v>裕南街街道</v>
      </c>
      <c r="D1107" s="3" t="str">
        <f>"石子冲社区"</f>
        <v>石子冲社区</v>
      </c>
      <c r="E1107" s="3" t="str">
        <f t="shared" si="367"/>
        <v>140</v>
      </c>
      <c r="F1107" s="3" t="str">
        <f t="shared" si="359"/>
        <v>100</v>
      </c>
      <c r="G1107" s="3" t="str">
        <f>"一级"</f>
        <v>一级</v>
      </c>
    </row>
    <row r="1108" customHeight="1" spans="1:7">
      <c r="A1108" s="3" t="str">
        <f>"1106"</f>
        <v>1106</v>
      </c>
      <c r="B1108" s="3" t="s">
        <v>861</v>
      </c>
      <c r="C1108" s="3" t="str">
        <f t="shared" si="372"/>
        <v>南托街道</v>
      </c>
      <c r="D1108" s="3" t="str">
        <f>"北塘社区"</f>
        <v>北塘社区</v>
      </c>
      <c r="E1108" s="3" t="str">
        <f t="shared" si="367"/>
        <v>140</v>
      </c>
      <c r="F1108" s="3" t="str">
        <f t="shared" si="359"/>
        <v>100</v>
      </c>
      <c r="G1108" s="3" t="str">
        <f t="shared" ref="G1108:G1111" si="373">"二级"</f>
        <v>二级</v>
      </c>
    </row>
    <row r="1109" customHeight="1" spans="1:7">
      <c r="A1109" s="3" t="str">
        <f>"1107"</f>
        <v>1107</v>
      </c>
      <c r="B1109" s="3" t="s">
        <v>266</v>
      </c>
      <c r="C1109" s="3" t="str">
        <f t="shared" si="372"/>
        <v>南托街道</v>
      </c>
      <c r="D1109" s="3" t="str">
        <f>"融城社区"</f>
        <v>融城社区</v>
      </c>
      <c r="E1109" s="3" t="str">
        <f t="shared" si="367"/>
        <v>140</v>
      </c>
      <c r="F1109" s="3" t="str">
        <f t="shared" si="359"/>
        <v>100</v>
      </c>
      <c r="G1109" s="3" t="str">
        <f t="shared" si="373"/>
        <v>二级</v>
      </c>
    </row>
    <row r="1110" customHeight="1" spans="1:7">
      <c r="A1110" s="3" t="str">
        <f>"1108"</f>
        <v>1108</v>
      </c>
      <c r="B1110" s="3" t="s">
        <v>862</v>
      </c>
      <c r="C1110" s="3" t="str">
        <f t="shared" ref="C1110:C1114" si="374">"暮云街道"</f>
        <v>暮云街道</v>
      </c>
      <c r="D1110" s="3" t="str">
        <f>"高云社区"</f>
        <v>高云社区</v>
      </c>
      <c r="E1110" s="3" t="str">
        <f t="shared" si="367"/>
        <v>140</v>
      </c>
      <c r="F1110" s="3" t="str">
        <f t="shared" si="359"/>
        <v>100</v>
      </c>
      <c r="G1110" s="3" t="str">
        <f t="shared" si="373"/>
        <v>二级</v>
      </c>
    </row>
    <row r="1111" customHeight="1" spans="1:7">
      <c r="A1111" s="3" t="str">
        <f>"1109"</f>
        <v>1109</v>
      </c>
      <c r="B1111" s="3" t="s">
        <v>863</v>
      </c>
      <c r="C1111" s="3" t="str">
        <f>"黑石铺街道"</f>
        <v>黑石铺街道</v>
      </c>
      <c r="D1111" s="3" t="str">
        <f>"一力社区"</f>
        <v>一力社区</v>
      </c>
      <c r="E1111" s="3" t="str">
        <f t="shared" si="367"/>
        <v>140</v>
      </c>
      <c r="F1111" s="3" t="str">
        <f t="shared" si="359"/>
        <v>100</v>
      </c>
      <c r="G1111" s="3" t="str">
        <f t="shared" si="373"/>
        <v>二级</v>
      </c>
    </row>
    <row r="1112" customHeight="1" spans="1:7">
      <c r="A1112" s="3" t="str">
        <f>"1110"</f>
        <v>1110</v>
      </c>
      <c r="B1112" s="3" t="s">
        <v>40</v>
      </c>
      <c r="C1112" s="3" t="str">
        <f t="shared" si="374"/>
        <v>暮云街道</v>
      </c>
      <c r="D1112" s="3" t="str">
        <f>"许兴村"</f>
        <v>许兴村</v>
      </c>
      <c r="E1112" s="3" t="str">
        <f t="shared" si="367"/>
        <v>140</v>
      </c>
      <c r="F1112" s="3" t="str">
        <f t="shared" si="359"/>
        <v>100</v>
      </c>
      <c r="G1112" s="3" t="str">
        <f t="shared" ref="G1112:G1117" si="375">"一级"</f>
        <v>一级</v>
      </c>
    </row>
    <row r="1113" customHeight="1" spans="1:7">
      <c r="A1113" s="3" t="str">
        <f>"1111"</f>
        <v>1111</v>
      </c>
      <c r="B1113" s="3" t="s">
        <v>864</v>
      </c>
      <c r="C1113" s="3" t="str">
        <f t="shared" si="374"/>
        <v>暮云街道</v>
      </c>
      <c r="D1113" s="3" t="str">
        <f>"高云社区"</f>
        <v>高云社区</v>
      </c>
      <c r="E1113" s="3" t="str">
        <f t="shared" si="367"/>
        <v>140</v>
      </c>
      <c r="F1113" s="3" t="str">
        <f t="shared" si="359"/>
        <v>100</v>
      </c>
      <c r="G1113" s="3" t="str">
        <f t="shared" si="375"/>
        <v>一级</v>
      </c>
    </row>
    <row r="1114" customHeight="1" spans="1:7">
      <c r="A1114" s="3" t="str">
        <f>"1112"</f>
        <v>1112</v>
      </c>
      <c r="B1114" s="3" t="s">
        <v>582</v>
      </c>
      <c r="C1114" s="3" t="str">
        <f t="shared" si="374"/>
        <v>暮云街道</v>
      </c>
      <c r="D1114" s="3" t="str">
        <f>"莲华村"</f>
        <v>莲华村</v>
      </c>
      <c r="E1114" s="3" t="str">
        <f t="shared" si="367"/>
        <v>140</v>
      </c>
      <c r="F1114" s="3" t="str">
        <f t="shared" si="359"/>
        <v>100</v>
      </c>
      <c r="G1114" s="3" t="str">
        <f t="shared" ref="G1114:G1116" si="376">"二级"</f>
        <v>二级</v>
      </c>
    </row>
    <row r="1115" customHeight="1" spans="1:7">
      <c r="A1115" s="3" t="str">
        <f>"1113"</f>
        <v>1113</v>
      </c>
      <c r="B1115" s="3" t="s">
        <v>865</v>
      </c>
      <c r="C1115" s="3" t="str">
        <f t="shared" ref="C1115:C1122" si="377">"裕南街街道"</f>
        <v>裕南街街道</v>
      </c>
      <c r="D1115" s="3" t="str">
        <f>"火把山社区"</f>
        <v>火把山社区</v>
      </c>
      <c r="E1115" s="3" t="str">
        <f t="shared" si="367"/>
        <v>140</v>
      </c>
      <c r="F1115" s="3" t="str">
        <f t="shared" si="359"/>
        <v>100</v>
      </c>
      <c r="G1115" s="3" t="str">
        <f t="shared" si="376"/>
        <v>二级</v>
      </c>
    </row>
    <row r="1116" customHeight="1" spans="1:7">
      <c r="A1116" s="3" t="str">
        <f>"1114"</f>
        <v>1114</v>
      </c>
      <c r="B1116" s="3" t="s">
        <v>70</v>
      </c>
      <c r="C1116" s="3" t="str">
        <f>"新开铺街道"</f>
        <v>新开铺街道</v>
      </c>
      <c r="D1116" s="3" t="str">
        <f>"豹子岭社区"</f>
        <v>豹子岭社区</v>
      </c>
      <c r="E1116" s="3" t="str">
        <f t="shared" si="367"/>
        <v>140</v>
      </c>
      <c r="F1116" s="3" t="str">
        <f t="shared" si="359"/>
        <v>100</v>
      </c>
      <c r="G1116" s="3" t="str">
        <f t="shared" si="376"/>
        <v>二级</v>
      </c>
    </row>
    <row r="1117" customHeight="1" spans="1:7">
      <c r="A1117" s="3" t="str">
        <f>"1115"</f>
        <v>1115</v>
      </c>
      <c r="B1117" s="3" t="s">
        <v>866</v>
      </c>
      <c r="C1117" s="3" t="str">
        <f>"赤岭路街道"</f>
        <v>赤岭路街道</v>
      </c>
      <c r="D1117" s="3" t="str">
        <f>"芙蓉南路社区"</f>
        <v>芙蓉南路社区</v>
      </c>
      <c r="E1117" s="3" t="str">
        <f t="shared" si="367"/>
        <v>140</v>
      </c>
      <c r="F1117" s="3" t="str">
        <f t="shared" si="359"/>
        <v>100</v>
      </c>
      <c r="G1117" s="3" t="str">
        <f t="shared" si="375"/>
        <v>一级</v>
      </c>
    </row>
    <row r="1118" customHeight="1" spans="1:7">
      <c r="A1118" s="3" t="str">
        <f>"1116"</f>
        <v>1116</v>
      </c>
      <c r="B1118" s="3" t="s">
        <v>867</v>
      </c>
      <c r="C1118" s="3" t="str">
        <f t="shared" si="377"/>
        <v>裕南街街道</v>
      </c>
      <c r="D1118" s="3" t="str">
        <f>"向东南社区"</f>
        <v>向东南社区</v>
      </c>
      <c r="E1118" s="3" t="str">
        <f t="shared" si="367"/>
        <v>140</v>
      </c>
      <c r="F1118" s="3" t="str">
        <f t="shared" si="359"/>
        <v>100</v>
      </c>
      <c r="G1118" s="3" t="str">
        <f t="shared" ref="G1118:G1120" si="378">"二级"</f>
        <v>二级</v>
      </c>
    </row>
    <row r="1119" customHeight="1" spans="1:7">
      <c r="A1119" s="3" t="str">
        <f>"1117"</f>
        <v>1117</v>
      </c>
      <c r="B1119" s="3" t="s">
        <v>868</v>
      </c>
      <c r="C1119" s="3" t="str">
        <f>"新开铺街道"</f>
        <v>新开铺街道</v>
      </c>
      <c r="D1119" s="3" t="str">
        <f>"新开铺社区"</f>
        <v>新开铺社区</v>
      </c>
      <c r="E1119" s="3" t="str">
        <f t="shared" si="367"/>
        <v>140</v>
      </c>
      <c r="F1119" s="3" t="str">
        <f t="shared" si="359"/>
        <v>100</v>
      </c>
      <c r="G1119" s="3" t="str">
        <f t="shared" si="378"/>
        <v>二级</v>
      </c>
    </row>
    <row r="1120" customHeight="1" spans="1:7">
      <c r="A1120" s="3" t="str">
        <f>"1118"</f>
        <v>1118</v>
      </c>
      <c r="B1120" s="3" t="s">
        <v>869</v>
      </c>
      <c r="C1120" s="3" t="str">
        <f t="shared" si="377"/>
        <v>裕南街街道</v>
      </c>
      <c r="D1120" s="3" t="str">
        <f>"长坡社区"</f>
        <v>长坡社区</v>
      </c>
      <c r="E1120" s="3" t="str">
        <f t="shared" si="367"/>
        <v>140</v>
      </c>
      <c r="F1120" s="3" t="str">
        <f t="shared" si="359"/>
        <v>100</v>
      </c>
      <c r="G1120" s="3" t="str">
        <f t="shared" si="378"/>
        <v>二级</v>
      </c>
    </row>
    <row r="1121" customHeight="1" spans="1:7">
      <c r="A1121" s="3" t="str">
        <f>"1119"</f>
        <v>1119</v>
      </c>
      <c r="B1121" s="3" t="s">
        <v>27</v>
      </c>
      <c r="C1121" s="3" t="str">
        <f t="shared" si="377"/>
        <v>裕南街街道</v>
      </c>
      <c r="D1121" s="3" t="str">
        <f>"仰天湖社区"</f>
        <v>仰天湖社区</v>
      </c>
      <c r="E1121" s="3" t="str">
        <f t="shared" si="367"/>
        <v>140</v>
      </c>
      <c r="F1121" s="3" t="str">
        <f t="shared" si="359"/>
        <v>100</v>
      </c>
      <c r="G1121" s="3" t="str">
        <f>"一级"</f>
        <v>一级</v>
      </c>
    </row>
    <row r="1122" customHeight="1" spans="1:7">
      <c r="A1122" s="3" t="str">
        <f>"1120"</f>
        <v>1120</v>
      </c>
      <c r="B1122" s="3" t="s">
        <v>352</v>
      </c>
      <c r="C1122" s="3" t="str">
        <f t="shared" si="377"/>
        <v>裕南街街道</v>
      </c>
      <c r="D1122" s="3" t="str">
        <f>"石子冲社区"</f>
        <v>石子冲社区</v>
      </c>
      <c r="E1122" s="3" t="str">
        <f t="shared" si="367"/>
        <v>140</v>
      </c>
      <c r="F1122" s="3" t="str">
        <f t="shared" si="359"/>
        <v>100</v>
      </c>
      <c r="G1122" s="3" t="str">
        <f>"一级"</f>
        <v>一级</v>
      </c>
    </row>
    <row r="1123" customHeight="1" spans="1:7">
      <c r="A1123" s="3" t="str">
        <f>"1121"</f>
        <v>1121</v>
      </c>
      <c r="B1123" s="3" t="s">
        <v>32</v>
      </c>
      <c r="C1123" s="3" t="str">
        <f>"先锋街道"</f>
        <v>先锋街道</v>
      </c>
      <c r="D1123" s="3" t="str">
        <f>"南城社区"</f>
        <v>南城社区</v>
      </c>
      <c r="E1123" s="3" t="str">
        <f t="shared" si="367"/>
        <v>140</v>
      </c>
      <c r="F1123" s="3" t="str">
        <f t="shared" si="359"/>
        <v>100</v>
      </c>
      <c r="G1123" s="3" t="str">
        <f t="shared" ref="G1123:G1127" si="379">"二级"</f>
        <v>二级</v>
      </c>
    </row>
    <row r="1124" customHeight="1" spans="1:7">
      <c r="A1124" s="3" t="str">
        <f>"1122"</f>
        <v>1122</v>
      </c>
      <c r="B1124" s="3" t="s">
        <v>569</v>
      </c>
      <c r="C1124" s="3" t="str">
        <f t="shared" ref="C1124:C1128" si="380">"坡子街街道"</f>
        <v>坡子街街道</v>
      </c>
      <c r="D1124" s="3" t="str">
        <f t="shared" ref="D1124:D1127" si="381">"文庙坪社区"</f>
        <v>文庙坪社区</v>
      </c>
      <c r="E1124" s="3" t="str">
        <f t="shared" si="367"/>
        <v>140</v>
      </c>
      <c r="F1124" s="3" t="str">
        <f t="shared" si="359"/>
        <v>100</v>
      </c>
      <c r="G1124" s="3" t="str">
        <f t="shared" si="379"/>
        <v>二级</v>
      </c>
    </row>
    <row r="1125" customHeight="1" spans="1:7">
      <c r="A1125" s="3" t="str">
        <f>"1123"</f>
        <v>1123</v>
      </c>
      <c r="B1125" s="3" t="s">
        <v>870</v>
      </c>
      <c r="C1125" s="3" t="str">
        <f t="shared" si="380"/>
        <v>坡子街街道</v>
      </c>
      <c r="D1125" s="3" t="str">
        <f>"坡子街社区"</f>
        <v>坡子街社区</v>
      </c>
      <c r="E1125" s="3" t="str">
        <f t="shared" si="367"/>
        <v>140</v>
      </c>
      <c r="F1125" s="3" t="str">
        <f t="shared" si="359"/>
        <v>100</v>
      </c>
      <c r="G1125" s="3" t="str">
        <f t="shared" si="379"/>
        <v>二级</v>
      </c>
    </row>
    <row r="1126" customHeight="1" spans="1:7">
      <c r="A1126" s="3" t="str">
        <f>"1124"</f>
        <v>1124</v>
      </c>
      <c r="B1126" s="3" t="s">
        <v>110</v>
      </c>
      <c r="C1126" s="3" t="str">
        <f t="shared" si="380"/>
        <v>坡子街街道</v>
      </c>
      <c r="D1126" s="3" t="str">
        <f t="shared" si="381"/>
        <v>文庙坪社区</v>
      </c>
      <c r="E1126" s="3" t="str">
        <f t="shared" si="367"/>
        <v>140</v>
      </c>
      <c r="F1126" s="3" t="str">
        <f t="shared" si="359"/>
        <v>100</v>
      </c>
      <c r="G1126" s="3" t="str">
        <f t="shared" si="379"/>
        <v>二级</v>
      </c>
    </row>
    <row r="1127" customHeight="1" spans="1:7">
      <c r="A1127" s="3" t="str">
        <f>"1125"</f>
        <v>1125</v>
      </c>
      <c r="B1127" s="3" t="s">
        <v>871</v>
      </c>
      <c r="C1127" s="3" t="str">
        <f t="shared" si="380"/>
        <v>坡子街街道</v>
      </c>
      <c r="D1127" s="3" t="str">
        <f t="shared" si="381"/>
        <v>文庙坪社区</v>
      </c>
      <c r="E1127" s="3" t="str">
        <f t="shared" si="367"/>
        <v>140</v>
      </c>
      <c r="F1127" s="3" t="str">
        <f t="shared" si="359"/>
        <v>100</v>
      </c>
      <c r="G1127" s="3" t="str">
        <f t="shared" si="379"/>
        <v>二级</v>
      </c>
    </row>
    <row r="1128" customHeight="1" spans="1:7">
      <c r="A1128" s="3" t="str">
        <f>"1126"</f>
        <v>1126</v>
      </c>
      <c r="B1128" s="3" t="s">
        <v>872</v>
      </c>
      <c r="C1128" s="3" t="str">
        <f t="shared" si="380"/>
        <v>坡子街街道</v>
      </c>
      <c r="D1128" s="3" t="str">
        <f>"坡子街社区"</f>
        <v>坡子街社区</v>
      </c>
      <c r="E1128" s="3" t="str">
        <f t="shared" si="367"/>
        <v>140</v>
      </c>
      <c r="F1128" s="3" t="str">
        <f t="shared" si="359"/>
        <v>100</v>
      </c>
      <c r="G1128" s="3" t="str">
        <f>"一级"</f>
        <v>一级</v>
      </c>
    </row>
    <row r="1129" customHeight="1" spans="1:7">
      <c r="A1129" s="3" t="str">
        <f>"1127"</f>
        <v>1127</v>
      </c>
      <c r="B1129" s="3" t="s">
        <v>873</v>
      </c>
      <c r="C1129" s="3" t="str">
        <f>"新开铺街道"</f>
        <v>新开铺街道</v>
      </c>
      <c r="D1129" s="3" t="str">
        <f>"豹子岭社区"</f>
        <v>豹子岭社区</v>
      </c>
      <c r="E1129" s="3" t="str">
        <f t="shared" si="367"/>
        <v>140</v>
      </c>
      <c r="F1129" s="3" t="str">
        <f t="shared" si="359"/>
        <v>100</v>
      </c>
      <c r="G1129" s="3" t="str">
        <f t="shared" ref="G1129:G1137" si="382">"二级"</f>
        <v>二级</v>
      </c>
    </row>
    <row r="1130" customHeight="1" spans="1:7">
      <c r="A1130" s="3" t="str">
        <f>"1128"</f>
        <v>1128</v>
      </c>
      <c r="B1130" s="3" t="s">
        <v>874</v>
      </c>
      <c r="C1130" s="3" t="str">
        <f>"赤岭路街道"</f>
        <v>赤岭路街道</v>
      </c>
      <c r="D1130" s="3" t="str">
        <f>"广厦新村社区"</f>
        <v>广厦新村社区</v>
      </c>
      <c r="E1130" s="3" t="str">
        <f t="shared" si="367"/>
        <v>140</v>
      </c>
      <c r="F1130" s="3" t="str">
        <f t="shared" si="359"/>
        <v>100</v>
      </c>
      <c r="G1130" s="3" t="str">
        <f t="shared" si="382"/>
        <v>二级</v>
      </c>
    </row>
    <row r="1131" customHeight="1" spans="1:7">
      <c r="A1131" s="3" t="str">
        <f>"1129"</f>
        <v>1129</v>
      </c>
      <c r="B1131" s="3" t="s">
        <v>875</v>
      </c>
      <c r="C1131" s="3" t="str">
        <f>"坡子街街道"</f>
        <v>坡子街街道</v>
      </c>
      <c r="D1131" s="3" t="str">
        <f>"西牌楼社区"</f>
        <v>西牌楼社区</v>
      </c>
      <c r="E1131" s="3" t="str">
        <f t="shared" si="367"/>
        <v>140</v>
      </c>
      <c r="F1131" s="3" t="str">
        <f t="shared" si="359"/>
        <v>100</v>
      </c>
      <c r="G1131" s="3" t="str">
        <f>"一级"</f>
        <v>一级</v>
      </c>
    </row>
    <row r="1132" customHeight="1" spans="1:7">
      <c r="A1132" s="3" t="str">
        <f>"1130"</f>
        <v>1130</v>
      </c>
      <c r="B1132" s="3" t="s">
        <v>876</v>
      </c>
      <c r="C1132" s="3" t="str">
        <f>"桂花坪街道"</f>
        <v>桂花坪街道</v>
      </c>
      <c r="D1132" s="3" t="str">
        <f>"金桂社区"</f>
        <v>金桂社区</v>
      </c>
      <c r="E1132" s="3" t="str">
        <f t="shared" si="367"/>
        <v>140</v>
      </c>
      <c r="F1132" s="3" t="str">
        <f t="shared" si="359"/>
        <v>100</v>
      </c>
      <c r="G1132" s="3" t="str">
        <f t="shared" si="382"/>
        <v>二级</v>
      </c>
    </row>
    <row r="1133" customHeight="1" spans="1:7">
      <c r="A1133" s="3" t="str">
        <f>"1131"</f>
        <v>1131</v>
      </c>
      <c r="B1133" s="3" t="s">
        <v>328</v>
      </c>
      <c r="C1133" s="3" t="str">
        <f>"文源街道"</f>
        <v>文源街道</v>
      </c>
      <c r="D1133" s="3" t="str">
        <f>"天鸿社区"</f>
        <v>天鸿社区</v>
      </c>
      <c r="E1133" s="3" t="str">
        <f t="shared" si="367"/>
        <v>140</v>
      </c>
      <c r="F1133" s="3" t="str">
        <f t="shared" si="359"/>
        <v>100</v>
      </c>
      <c r="G1133" s="3" t="str">
        <f t="shared" si="382"/>
        <v>二级</v>
      </c>
    </row>
    <row r="1134" customHeight="1" spans="1:7">
      <c r="A1134" s="3" t="str">
        <f>"1132"</f>
        <v>1132</v>
      </c>
      <c r="B1134" s="3" t="s">
        <v>266</v>
      </c>
      <c r="C1134" s="3" t="str">
        <f>"青园街道"</f>
        <v>青园街道</v>
      </c>
      <c r="D1134" s="3" t="str">
        <f>"友谊社区"</f>
        <v>友谊社区</v>
      </c>
      <c r="E1134" s="3" t="str">
        <f t="shared" si="367"/>
        <v>140</v>
      </c>
      <c r="F1134" s="3" t="str">
        <f t="shared" si="359"/>
        <v>100</v>
      </c>
      <c r="G1134" s="3" t="str">
        <f t="shared" si="382"/>
        <v>二级</v>
      </c>
    </row>
    <row r="1135" customHeight="1" spans="1:7">
      <c r="A1135" s="3" t="str">
        <f>"1133"</f>
        <v>1133</v>
      </c>
      <c r="B1135" s="3" t="s">
        <v>877</v>
      </c>
      <c r="C1135" s="3" t="str">
        <f>"新开铺街道"</f>
        <v>新开铺街道</v>
      </c>
      <c r="D1135" s="3" t="str">
        <f>"新天村委会"</f>
        <v>新天村委会</v>
      </c>
      <c r="E1135" s="3" t="str">
        <f t="shared" si="367"/>
        <v>140</v>
      </c>
      <c r="F1135" s="3" t="str">
        <f t="shared" si="359"/>
        <v>100</v>
      </c>
      <c r="G1135" s="3" t="str">
        <f t="shared" si="382"/>
        <v>二级</v>
      </c>
    </row>
    <row r="1136" customHeight="1" spans="1:7">
      <c r="A1136" s="3" t="str">
        <f>"1134"</f>
        <v>1134</v>
      </c>
      <c r="B1136" s="3" t="s">
        <v>266</v>
      </c>
      <c r="C1136" s="3" t="str">
        <f>"桂花坪街道"</f>
        <v>桂花坪街道</v>
      </c>
      <c r="D1136" s="3" t="str">
        <f>"金桂社区"</f>
        <v>金桂社区</v>
      </c>
      <c r="E1136" s="3" t="str">
        <f t="shared" si="367"/>
        <v>140</v>
      </c>
      <c r="F1136" s="3" t="str">
        <f t="shared" si="359"/>
        <v>100</v>
      </c>
      <c r="G1136" s="3" t="str">
        <f t="shared" si="382"/>
        <v>二级</v>
      </c>
    </row>
    <row r="1137" customHeight="1" spans="1:7">
      <c r="A1137" s="3" t="str">
        <f>"1135"</f>
        <v>1135</v>
      </c>
      <c r="B1137" s="3" t="s">
        <v>878</v>
      </c>
      <c r="C1137" s="3" t="str">
        <f t="shared" ref="C1137:C1139" si="383">"坡子街街道"</f>
        <v>坡子街街道</v>
      </c>
      <c r="D1137" s="3" t="str">
        <f>"太平街社区"</f>
        <v>太平街社区</v>
      </c>
      <c r="E1137" s="3" t="str">
        <f t="shared" si="367"/>
        <v>140</v>
      </c>
      <c r="F1137" s="3" t="str">
        <f t="shared" si="359"/>
        <v>100</v>
      </c>
      <c r="G1137" s="3" t="str">
        <f t="shared" si="382"/>
        <v>二级</v>
      </c>
    </row>
    <row r="1138" customHeight="1" spans="1:7">
      <c r="A1138" s="3" t="str">
        <f>"1136"</f>
        <v>1136</v>
      </c>
      <c r="B1138" s="3" t="s">
        <v>879</v>
      </c>
      <c r="C1138" s="3" t="str">
        <f t="shared" si="383"/>
        <v>坡子街街道</v>
      </c>
      <c r="D1138" s="3" t="str">
        <f>"坡子街社区"</f>
        <v>坡子街社区</v>
      </c>
      <c r="E1138" s="3" t="str">
        <f t="shared" si="367"/>
        <v>140</v>
      </c>
      <c r="F1138" s="3" t="str">
        <f t="shared" si="359"/>
        <v>100</v>
      </c>
      <c r="G1138" s="3" t="str">
        <f t="shared" ref="G1138:G1143" si="384">"一级"</f>
        <v>一级</v>
      </c>
    </row>
    <row r="1139" customHeight="1" spans="1:7">
      <c r="A1139" s="3" t="str">
        <f>"1137"</f>
        <v>1137</v>
      </c>
      <c r="B1139" s="3" t="s">
        <v>880</v>
      </c>
      <c r="C1139" s="3" t="str">
        <f t="shared" si="383"/>
        <v>坡子街街道</v>
      </c>
      <c r="D1139" s="3" t="str">
        <f>"文庙坪社区"</f>
        <v>文庙坪社区</v>
      </c>
      <c r="E1139" s="3" t="str">
        <f t="shared" si="367"/>
        <v>140</v>
      </c>
      <c r="F1139" s="3" t="str">
        <f t="shared" si="359"/>
        <v>100</v>
      </c>
      <c r="G1139" s="3" t="str">
        <f t="shared" ref="G1139:G1142" si="385">"二级"</f>
        <v>二级</v>
      </c>
    </row>
    <row r="1140" customHeight="1" spans="1:7">
      <c r="A1140" s="3" t="str">
        <f>"1138"</f>
        <v>1138</v>
      </c>
      <c r="B1140" s="3" t="s">
        <v>881</v>
      </c>
      <c r="C1140" s="3" t="str">
        <f>"赤岭路街道"</f>
        <v>赤岭路街道</v>
      </c>
      <c r="D1140" s="3" t="str">
        <f>"白沙花园社区"</f>
        <v>白沙花园社区</v>
      </c>
      <c r="E1140" s="3" t="str">
        <f t="shared" si="367"/>
        <v>140</v>
      </c>
      <c r="F1140" s="3" t="str">
        <f t="shared" ref="F1140:F1202" si="386">"100"</f>
        <v>100</v>
      </c>
      <c r="G1140" s="3" t="str">
        <f t="shared" si="385"/>
        <v>二级</v>
      </c>
    </row>
    <row r="1141" customHeight="1" spans="1:7">
      <c r="A1141" s="3" t="str">
        <f>"1139"</f>
        <v>1139</v>
      </c>
      <c r="B1141" s="3" t="s">
        <v>882</v>
      </c>
      <c r="C1141" s="3" t="str">
        <f>"暮云街道"</f>
        <v>暮云街道</v>
      </c>
      <c r="D1141" s="3" t="str">
        <f>"暮云社区"</f>
        <v>暮云社区</v>
      </c>
      <c r="E1141" s="3" t="str">
        <f t="shared" si="367"/>
        <v>140</v>
      </c>
      <c r="F1141" s="3" t="str">
        <f t="shared" si="386"/>
        <v>100</v>
      </c>
      <c r="G1141" s="3" t="str">
        <f t="shared" si="384"/>
        <v>一级</v>
      </c>
    </row>
    <row r="1142" customHeight="1" spans="1:7">
      <c r="A1142" s="3" t="str">
        <f>"1140"</f>
        <v>1140</v>
      </c>
      <c r="B1142" s="3" t="s">
        <v>883</v>
      </c>
      <c r="C1142" s="3" t="str">
        <f>"城南路街道"</f>
        <v>城南路街道</v>
      </c>
      <c r="D1142" s="3" t="str">
        <f>"吴家坪社区"</f>
        <v>吴家坪社区</v>
      </c>
      <c r="E1142" s="3" t="str">
        <f t="shared" si="367"/>
        <v>140</v>
      </c>
      <c r="F1142" s="3" t="str">
        <f t="shared" si="386"/>
        <v>100</v>
      </c>
      <c r="G1142" s="3" t="str">
        <f t="shared" si="385"/>
        <v>二级</v>
      </c>
    </row>
    <row r="1143" customHeight="1" spans="1:7">
      <c r="A1143" s="3" t="str">
        <f>"1141"</f>
        <v>1141</v>
      </c>
      <c r="B1143" s="3" t="s">
        <v>884</v>
      </c>
      <c r="C1143" s="3" t="str">
        <f>"赤岭路街道"</f>
        <v>赤岭路街道</v>
      </c>
      <c r="D1143" s="3" t="str">
        <f>"白沙花园社区"</f>
        <v>白沙花园社区</v>
      </c>
      <c r="E1143" s="3" t="str">
        <f t="shared" si="367"/>
        <v>140</v>
      </c>
      <c r="F1143" s="3" t="str">
        <f t="shared" si="386"/>
        <v>100</v>
      </c>
      <c r="G1143" s="3" t="str">
        <f t="shared" si="384"/>
        <v>一级</v>
      </c>
    </row>
    <row r="1144" customHeight="1" spans="1:7">
      <c r="A1144" s="3" t="str">
        <f>"1142"</f>
        <v>1142</v>
      </c>
      <c r="B1144" s="3" t="s">
        <v>76</v>
      </c>
      <c r="C1144" s="3" t="str">
        <f>"金盆岭街道"</f>
        <v>金盆岭街道</v>
      </c>
      <c r="D1144" s="3" t="str">
        <f>"黄土岭社区"</f>
        <v>黄土岭社区</v>
      </c>
      <c r="E1144" s="3" t="str">
        <f t="shared" si="367"/>
        <v>140</v>
      </c>
      <c r="F1144" s="3" t="str">
        <f t="shared" si="386"/>
        <v>100</v>
      </c>
      <c r="G1144" s="3" t="str">
        <f t="shared" ref="G1144:G1149" si="387">"二级"</f>
        <v>二级</v>
      </c>
    </row>
    <row r="1145" customHeight="1" spans="1:7">
      <c r="A1145" s="3" t="str">
        <f>"1143"</f>
        <v>1143</v>
      </c>
      <c r="B1145" s="3" t="s">
        <v>885</v>
      </c>
      <c r="C1145" s="3" t="str">
        <f t="shared" ref="C1145:C1149" si="388">"裕南街街道"</f>
        <v>裕南街街道</v>
      </c>
      <c r="D1145" s="3" t="str">
        <f>"长坡社区"</f>
        <v>长坡社区</v>
      </c>
      <c r="E1145" s="3" t="str">
        <f t="shared" si="367"/>
        <v>140</v>
      </c>
      <c r="F1145" s="3" t="str">
        <f t="shared" si="386"/>
        <v>100</v>
      </c>
      <c r="G1145" s="3" t="str">
        <f>"一级"</f>
        <v>一级</v>
      </c>
    </row>
    <row r="1146" customHeight="1" spans="1:7">
      <c r="A1146" s="3" t="str">
        <f>"1144"</f>
        <v>1144</v>
      </c>
      <c r="B1146" s="3" t="s">
        <v>886</v>
      </c>
      <c r="C1146" s="3" t="str">
        <f t="shared" si="388"/>
        <v>裕南街街道</v>
      </c>
      <c r="D1146" s="3" t="str">
        <f>"仰天湖社区"</f>
        <v>仰天湖社区</v>
      </c>
      <c r="E1146" s="3" t="str">
        <f t="shared" si="367"/>
        <v>140</v>
      </c>
      <c r="F1146" s="3" t="str">
        <f t="shared" si="386"/>
        <v>100</v>
      </c>
      <c r="G1146" s="3" t="str">
        <f t="shared" si="387"/>
        <v>二级</v>
      </c>
    </row>
    <row r="1147" customHeight="1" spans="1:7">
      <c r="A1147" s="3" t="str">
        <f>"1145"</f>
        <v>1145</v>
      </c>
      <c r="B1147" s="3" t="s">
        <v>887</v>
      </c>
      <c r="C1147" s="3" t="str">
        <f>"坡子街街道"</f>
        <v>坡子街街道</v>
      </c>
      <c r="D1147" s="3" t="str">
        <f>"楚湘社区"</f>
        <v>楚湘社区</v>
      </c>
      <c r="E1147" s="3" t="str">
        <f t="shared" si="367"/>
        <v>140</v>
      </c>
      <c r="F1147" s="3" t="str">
        <f t="shared" si="386"/>
        <v>100</v>
      </c>
      <c r="G1147" s="3" t="str">
        <f t="shared" si="387"/>
        <v>二级</v>
      </c>
    </row>
    <row r="1148" customHeight="1" spans="1:7">
      <c r="A1148" s="3" t="str">
        <f>"1146"</f>
        <v>1146</v>
      </c>
      <c r="B1148" s="3" t="s">
        <v>888</v>
      </c>
      <c r="C1148" s="3" t="str">
        <f>"金盆岭街道"</f>
        <v>金盆岭街道</v>
      </c>
      <c r="D1148" s="3" t="str">
        <f>"天剑社区"</f>
        <v>天剑社区</v>
      </c>
      <c r="E1148" s="3" t="str">
        <f t="shared" si="367"/>
        <v>140</v>
      </c>
      <c r="F1148" s="3" t="str">
        <f t="shared" si="386"/>
        <v>100</v>
      </c>
      <c r="G1148" s="3" t="str">
        <f t="shared" si="387"/>
        <v>二级</v>
      </c>
    </row>
    <row r="1149" customHeight="1" spans="1:7">
      <c r="A1149" s="3" t="str">
        <f>"1147"</f>
        <v>1147</v>
      </c>
      <c r="B1149" s="3" t="s">
        <v>112</v>
      </c>
      <c r="C1149" s="3" t="str">
        <f t="shared" si="388"/>
        <v>裕南街街道</v>
      </c>
      <c r="D1149" s="3" t="str">
        <f>"南站社区"</f>
        <v>南站社区</v>
      </c>
      <c r="E1149" s="3" t="str">
        <f t="shared" si="367"/>
        <v>140</v>
      </c>
      <c r="F1149" s="3" t="str">
        <f t="shared" si="386"/>
        <v>100</v>
      </c>
      <c r="G1149" s="3" t="str">
        <f t="shared" si="387"/>
        <v>二级</v>
      </c>
    </row>
    <row r="1150" customHeight="1" spans="1:7">
      <c r="A1150" s="3" t="str">
        <f>"1148"</f>
        <v>1148</v>
      </c>
      <c r="B1150" s="3" t="s">
        <v>889</v>
      </c>
      <c r="C1150" s="3" t="str">
        <f>"坡子街街道"</f>
        <v>坡子街街道</v>
      </c>
      <c r="D1150" s="3" t="str">
        <f>"太平街社区"</f>
        <v>太平街社区</v>
      </c>
      <c r="E1150" s="3" t="str">
        <f t="shared" si="367"/>
        <v>140</v>
      </c>
      <c r="F1150" s="3" t="str">
        <f t="shared" si="386"/>
        <v>100</v>
      </c>
      <c r="G1150" s="3" t="str">
        <f t="shared" ref="G1150:G1154" si="389">"一级"</f>
        <v>一级</v>
      </c>
    </row>
    <row r="1151" customHeight="1" spans="1:7">
      <c r="A1151" s="3" t="str">
        <f>"1149"</f>
        <v>1149</v>
      </c>
      <c r="B1151" s="3" t="s">
        <v>890</v>
      </c>
      <c r="C1151" s="3" t="str">
        <f t="shared" ref="C1151:C1155" si="390">"城南路街道"</f>
        <v>城南路街道</v>
      </c>
      <c r="D1151" s="3" t="str">
        <f>"吴家坪社区"</f>
        <v>吴家坪社区</v>
      </c>
      <c r="E1151" s="3" t="str">
        <f t="shared" si="367"/>
        <v>140</v>
      </c>
      <c r="F1151" s="3" t="str">
        <f t="shared" si="386"/>
        <v>100</v>
      </c>
      <c r="G1151" s="3" t="str">
        <f t="shared" ref="G1151:G1156" si="391">"二级"</f>
        <v>二级</v>
      </c>
    </row>
    <row r="1152" customHeight="1" spans="1:7">
      <c r="A1152" s="3" t="str">
        <f>"1150"</f>
        <v>1150</v>
      </c>
      <c r="B1152" s="3" t="s">
        <v>751</v>
      </c>
      <c r="C1152" s="3" t="str">
        <f>"新开铺街道"</f>
        <v>新开铺街道</v>
      </c>
      <c r="D1152" s="3" t="str">
        <f>"豹子岭社区"</f>
        <v>豹子岭社区</v>
      </c>
      <c r="E1152" s="3" t="str">
        <f t="shared" si="367"/>
        <v>140</v>
      </c>
      <c r="F1152" s="3" t="str">
        <f t="shared" si="386"/>
        <v>100</v>
      </c>
      <c r="G1152" s="3" t="str">
        <f t="shared" si="389"/>
        <v>一级</v>
      </c>
    </row>
    <row r="1153" customHeight="1" spans="1:7">
      <c r="A1153" s="3" t="str">
        <f>"1151"</f>
        <v>1151</v>
      </c>
      <c r="B1153" s="3" t="s">
        <v>68</v>
      </c>
      <c r="C1153" s="3" t="str">
        <f>"坡子街街道"</f>
        <v>坡子街街道</v>
      </c>
      <c r="D1153" s="3" t="str">
        <f>"登仁桥社区"</f>
        <v>登仁桥社区</v>
      </c>
      <c r="E1153" s="3" t="str">
        <f t="shared" si="367"/>
        <v>140</v>
      </c>
      <c r="F1153" s="3" t="str">
        <f t="shared" si="386"/>
        <v>100</v>
      </c>
      <c r="G1153" s="3" t="str">
        <f t="shared" si="389"/>
        <v>一级</v>
      </c>
    </row>
    <row r="1154" customHeight="1" spans="1:7">
      <c r="A1154" s="3" t="str">
        <f>"1152"</f>
        <v>1152</v>
      </c>
      <c r="B1154" s="3" t="s">
        <v>146</v>
      </c>
      <c r="C1154" s="3" t="str">
        <f t="shared" si="390"/>
        <v>城南路街道</v>
      </c>
      <c r="D1154" s="3" t="str">
        <f>"熙台岭社区"</f>
        <v>熙台岭社区</v>
      </c>
      <c r="E1154" s="3" t="str">
        <f t="shared" si="367"/>
        <v>140</v>
      </c>
      <c r="F1154" s="3" t="str">
        <f t="shared" si="386"/>
        <v>100</v>
      </c>
      <c r="G1154" s="3" t="str">
        <f t="shared" si="389"/>
        <v>一级</v>
      </c>
    </row>
    <row r="1155" customHeight="1" spans="1:7">
      <c r="A1155" s="3" t="str">
        <f>"1153"</f>
        <v>1153</v>
      </c>
      <c r="B1155" s="3" t="s">
        <v>891</v>
      </c>
      <c r="C1155" s="3" t="str">
        <f t="shared" si="390"/>
        <v>城南路街道</v>
      </c>
      <c r="D1155" s="3" t="str">
        <f>"熙台岭社区"</f>
        <v>熙台岭社区</v>
      </c>
      <c r="E1155" s="3" t="str">
        <f t="shared" ref="E1155:E1202" si="392">"140"</f>
        <v>140</v>
      </c>
      <c r="F1155" s="3" t="str">
        <f t="shared" si="386"/>
        <v>100</v>
      </c>
      <c r="G1155" s="3" t="str">
        <f t="shared" si="391"/>
        <v>二级</v>
      </c>
    </row>
    <row r="1156" customHeight="1" spans="1:7">
      <c r="A1156" s="3" t="str">
        <f>"1154"</f>
        <v>1154</v>
      </c>
      <c r="B1156" s="3" t="s">
        <v>488</v>
      </c>
      <c r="C1156" s="3" t="str">
        <f>"新开铺街道"</f>
        <v>新开铺街道</v>
      </c>
      <c r="D1156" s="3" t="str">
        <f>"新天村委会"</f>
        <v>新天村委会</v>
      </c>
      <c r="E1156" s="3" t="str">
        <f t="shared" si="392"/>
        <v>140</v>
      </c>
      <c r="F1156" s="3" t="str">
        <f t="shared" si="386"/>
        <v>100</v>
      </c>
      <c r="G1156" s="3" t="str">
        <f t="shared" si="391"/>
        <v>二级</v>
      </c>
    </row>
    <row r="1157" customHeight="1" spans="1:7">
      <c r="A1157" s="3" t="str">
        <f>"1155"</f>
        <v>1155</v>
      </c>
      <c r="B1157" s="3" t="s">
        <v>76</v>
      </c>
      <c r="C1157" s="3" t="str">
        <f>"坡子街街道"</f>
        <v>坡子街街道</v>
      </c>
      <c r="D1157" s="3" t="str">
        <f>"坡子街社区"</f>
        <v>坡子街社区</v>
      </c>
      <c r="E1157" s="3" t="str">
        <f t="shared" si="392"/>
        <v>140</v>
      </c>
      <c r="F1157" s="3" t="str">
        <f t="shared" si="386"/>
        <v>100</v>
      </c>
      <c r="G1157" s="3" t="str">
        <f>"一级"</f>
        <v>一级</v>
      </c>
    </row>
    <row r="1158" customHeight="1" spans="1:7">
      <c r="A1158" s="3" t="str">
        <f>"1156"</f>
        <v>1156</v>
      </c>
      <c r="B1158" s="3" t="s">
        <v>892</v>
      </c>
      <c r="C1158" s="3" t="str">
        <f>"金盆岭街道"</f>
        <v>金盆岭街道</v>
      </c>
      <c r="D1158" s="3" t="str">
        <f>"天剑社区"</f>
        <v>天剑社区</v>
      </c>
      <c r="E1158" s="3" t="str">
        <f t="shared" si="392"/>
        <v>140</v>
      </c>
      <c r="F1158" s="3" t="str">
        <f t="shared" si="386"/>
        <v>100</v>
      </c>
      <c r="G1158" s="3" t="str">
        <f t="shared" ref="G1158:G1163" si="393">"二级"</f>
        <v>二级</v>
      </c>
    </row>
    <row r="1159" customHeight="1" spans="1:7">
      <c r="A1159" s="3" t="str">
        <f>"1157"</f>
        <v>1157</v>
      </c>
      <c r="B1159" s="3" t="s">
        <v>893</v>
      </c>
      <c r="C1159" s="3" t="str">
        <f>"裕南街街道"</f>
        <v>裕南街街道</v>
      </c>
      <c r="D1159" s="3" t="str">
        <f>"杏花园社区"</f>
        <v>杏花园社区</v>
      </c>
      <c r="E1159" s="3" t="str">
        <f t="shared" si="392"/>
        <v>140</v>
      </c>
      <c r="F1159" s="3" t="str">
        <f t="shared" si="386"/>
        <v>100</v>
      </c>
      <c r="G1159" s="3" t="str">
        <f t="shared" si="393"/>
        <v>二级</v>
      </c>
    </row>
    <row r="1160" customHeight="1" spans="1:7">
      <c r="A1160" s="3" t="str">
        <f>"1158"</f>
        <v>1158</v>
      </c>
      <c r="B1160" s="3" t="s">
        <v>894</v>
      </c>
      <c r="C1160" s="3" t="str">
        <f>"坡子街街道"</f>
        <v>坡子街街道</v>
      </c>
      <c r="D1160" s="3" t="str">
        <f>"青山祠社区"</f>
        <v>青山祠社区</v>
      </c>
      <c r="E1160" s="3" t="str">
        <f t="shared" si="392"/>
        <v>140</v>
      </c>
      <c r="F1160" s="3" t="str">
        <f t="shared" si="386"/>
        <v>100</v>
      </c>
      <c r="G1160" s="3" t="str">
        <f t="shared" si="393"/>
        <v>二级</v>
      </c>
    </row>
    <row r="1161" customHeight="1" spans="1:7">
      <c r="A1161" s="3" t="str">
        <f>"1159"</f>
        <v>1159</v>
      </c>
      <c r="B1161" s="3" t="s">
        <v>895</v>
      </c>
      <c r="C1161" s="3" t="str">
        <f>"大托铺街道"</f>
        <v>大托铺街道</v>
      </c>
      <c r="D1161" s="3" t="str">
        <f>"桂井村委会"</f>
        <v>桂井村委会</v>
      </c>
      <c r="E1161" s="3" t="str">
        <f t="shared" si="392"/>
        <v>140</v>
      </c>
      <c r="F1161" s="3" t="str">
        <f t="shared" si="386"/>
        <v>100</v>
      </c>
      <c r="G1161" s="3" t="str">
        <f t="shared" si="393"/>
        <v>二级</v>
      </c>
    </row>
    <row r="1162" customHeight="1" spans="1:7">
      <c r="A1162" s="3" t="str">
        <f>"1160"</f>
        <v>1160</v>
      </c>
      <c r="B1162" s="3" t="s">
        <v>32</v>
      </c>
      <c r="C1162" s="3" t="str">
        <f t="shared" ref="C1162:C1167" si="394">"裕南街街道"</f>
        <v>裕南街街道</v>
      </c>
      <c r="D1162" s="3" t="str">
        <f>"东瓜山社区"</f>
        <v>东瓜山社区</v>
      </c>
      <c r="E1162" s="3" t="str">
        <f t="shared" si="392"/>
        <v>140</v>
      </c>
      <c r="F1162" s="3" t="str">
        <f t="shared" si="386"/>
        <v>100</v>
      </c>
      <c r="G1162" s="3" t="str">
        <f t="shared" si="393"/>
        <v>二级</v>
      </c>
    </row>
    <row r="1163" customHeight="1" spans="1:7">
      <c r="A1163" s="3" t="str">
        <f>"1161"</f>
        <v>1161</v>
      </c>
      <c r="B1163" s="3" t="s">
        <v>420</v>
      </c>
      <c r="C1163" s="3" t="str">
        <f>"金盆岭街道"</f>
        <v>金盆岭街道</v>
      </c>
      <c r="D1163" s="3" t="str">
        <f>"赤岭路社区"</f>
        <v>赤岭路社区</v>
      </c>
      <c r="E1163" s="3" t="str">
        <f t="shared" si="392"/>
        <v>140</v>
      </c>
      <c r="F1163" s="3" t="str">
        <f t="shared" si="386"/>
        <v>100</v>
      </c>
      <c r="G1163" s="3" t="str">
        <f t="shared" si="393"/>
        <v>二级</v>
      </c>
    </row>
    <row r="1164" customHeight="1" spans="1:7">
      <c r="A1164" s="3" t="str">
        <f>"1162"</f>
        <v>1162</v>
      </c>
      <c r="B1164" s="3" t="s">
        <v>235</v>
      </c>
      <c r="C1164" s="3" t="str">
        <f>"金盆岭街道"</f>
        <v>金盆岭街道</v>
      </c>
      <c r="D1164" s="3" t="str">
        <f>"黄土岭社区"</f>
        <v>黄土岭社区</v>
      </c>
      <c r="E1164" s="3" t="str">
        <f t="shared" si="392"/>
        <v>140</v>
      </c>
      <c r="F1164" s="3" t="str">
        <f t="shared" si="386"/>
        <v>100</v>
      </c>
      <c r="G1164" s="3" t="str">
        <f t="shared" ref="G1164:G1167" si="395">"一级"</f>
        <v>一级</v>
      </c>
    </row>
    <row r="1165" customHeight="1" spans="1:7">
      <c r="A1165" s="3" t="str">
        <f>"1163"</f>
        <v>1163</v>
      </c>
      <c r="B1165" s="3" t="s">
        <v>512</v>
      </c>
      <c r="C1165" s="3" t="str">
        <f t="shared" si="394"/>
        <v>裕南街街道</v>
      </c>
      <c r="D1165" s="3" t="str">
        <f>"裕南街社区"</f>
        <v>裕南街社区</v>
      </c>
      <c r="E1165" s="3" t="str">
        <f t="shared" si="392"/>
        <v>140</v>
      </c>
      <c r="F1165" s="3" t="str">
        <f t="shared" si="386"/>
        <v>100</v>
      </c>
      <c r="G1165" s="3" t="str">
        <f t="shared" ref="G1165:G1180" si="396">"二级"</f>
        <v>二级</v>
      </c>
    </row>
    <row r="1166" customHeight="1" spans="1:7">
      <c r="A1166" s="3" t="str">
        <f>"1164"</f>
        <v>1164</v>
      </c>
      <c r="B1166" s="3" t="s">
        <v>800</v>
      </c>
      <c r="C1166" s="3" t="str">
        <f t="shared" si="394"/>
        <v>裕南街街道</v>
      </c>
      <c r="D1166" s="3" t="str">
        <f>"裕南街社区"</f>
        <v>裕南街社区</v>
      </c>
      <c r="E1166" s="3" t="str">
        <f t="shared" si="392"/>
        <v>140</v>
      </c>
      <c r="F1166" s="3" t="str">
        <f t="shared" si="386"/>
        <v>100</v>
      </c>
      <c r="G1166" s="3" t="str">
        <f t="shared" si="395"/>
        <v>一级</v>
      </c>
    </row>
    <row r="1167" customHeight="1" spans="1:7">
      <c r="A1167" s="3" t="str">
        <f>"1165"</f>
        <v>1165</v>
      </c>
      <c r="B1167" s="3" t="s">
        <v>896</v>
      </c>
      <c r="C1167" s="3" t="str">
        <f t="shared" si="394"/>
        <v>裕南街街道</v>
      </c>
      <c r="D1167" s="3" t="str">
        <f>"长坡社区"</f>
        <v>长坡社区</v>
      </c>
      <c r="E1167" s="3" t="str">
        <f t="shared" si="392"/>
        <v>140</v>
      </c>
      <c r="F1167" s="3" t="str">
        <f t="shared" si="386"/>
        <v>100</v>
      </c>
      <c r="G1167" s="3" t="str">
        <f t="shared" si="395"/>
        <v>一级</v>
      </c>
    </row>
    <row r="1168" customHeight="1" spans="1:7">
      <c r="A1168" s="3" t="str">
        <f>"1166"</f>
        <v>1166</v>
      </c>
      <c r="B1168" s="3" t="s">
        <v>897</v>
      </c>
      <c r="C1168" s="3" t="str">
        <f t="shared" ref="C1168:C1172" si="397">"南托街道"</f>
        <v>南托街道</v>
      </c>
      <c r="D1168" s="3" t="str">
        <f>"沿江村"</f>
        <v>沿江村</v>
      </c>
      <c r="E1168" s="3" t="str">
        <f t="shared" si="392"/>
        <v>140</v>
      </c>
      <c r="F1168" s="3" t="str">
        <f t="shared" si="386"/>
        <v>100</v>
      </c>
      <c r="G1168" s="3" t="str">
        <f t="shared" si="396"/>
        <v>二级</v>
      </c>
    </row>
    <row r="1169" customHeight="1" spans="1:7">
      <c r="A1169" s="3" t="str">
        <f>"1167"</f>
        <v>1167</v>
      </c>
      <c r="B1169" s="3" t="s">
        <v>898</v>
      </c>
      <c r="C1169" s="3" t="str">
        <f t="shared" si="397"/>
        <v>南托街道</v>
      </c>
      <c r="D1169" s="3" t="str">
        <f>"南鑫社区"</f>
        <v>南鑫社区</v>
      </c>
      <c r="E1169" s="3" t="str">
        <f t="shared" si="392"/>
        <v>140</v>
      </c>
      <c r="F1169" s="3" t="str">
        <f t="shared" si="386"/>
        <v>100</v>
      </c>
      <c r="G1169" s="3" t="str">
        <f t="shared" si="396"/>
        <v>二级</v>
      </c>
    </row>
    <row r="1170" customHeight="1" spans="1:7">
      <c r="A1170" s="3" t="str">
        <f>"1168"</f>
        <v>1168</v>
      </c>
      <c r="B1170" s="3" t="s">
        <v>899</v>
      </c>
      <c r="C1170" s="3" t="str">
        <f t="shared" si="397"/>
        <v>南托街道</v>
      </c>
      <c r="D1170" s="3" t="str">
        <f>"牛角塘村"</f>
        <v>牛角塘村</v>
      </c>
      <c r="E1170" s="3" t="str">
        <f t="shared" si="392"/>
        <v>140</v>
      </c>
      <c r="F1170" s="3" t="str">
        <f t="shared" si="386"/>
        <v>100</v>
      </c>
      <c r="G1170" s="3" t="str">
        <f t="shared" si="396"/>
        <v>二级</v>
      </c>
    </row>
    <row r="1171" customHeight="1" spans="1:7">
      <c r="A1171" s="3" t="str">
        <f>"1169"</f>
        <v>1169</v>
      </c>
      <c r="B1171" s="3" t="s">
        <v>900</v>
      </c>
      <c r="C1171" s="3" t="str">
        <f t="shared" si="397"/>
        <v>南托街道</v>
      </c>
      <c r="D1171" s="3" t="str">
        <f>"滨洲新村"</f>
        <v>滨洲新村</v>
      </c>
      <c r="E1171" s="3" t="str">
        <f t="shared" si="392"/>
        <v>140</v>
      </c>
      <c r="F1171" s="3" t="str">
        <f t="shared" si="386"/>
        <v>100</v>
      </c>
      <c r="G1171" s="3" t="str">
        <f t="shared" si="396"/>
        <v>二级</v>
      </c>
    </row>
    <row r="1172" customHeight="1" spans="1:7">
      <c r="A1172" s="3" t="str">
        <f>"1170"</f>
        <v>1170</v>
      </c>
      <c r="B1172" s="3" t="s">
        <v>901</v>
      </c>
      <c r="C1172" s="3" t="str">
        <f t="shared" si="397"/>
        <v>南托街道</v>
      </c>
      <c r="D1172" s="3" t="str">
        <f>"滨洲新村"</f>
        <v>滨洲新村</v>
      </c>
      <c r="E1172" s="3" t="str">
        <f t="shared" si="392"/>
        <v>140</v>
      </c>
      <c r="F1172" s="3" t="str">
        <f t="shared" si="386"/>
        <v>100</v>
      </c>
      <c r="G1172" s="3" t="str">
        <f t="shared" si="396"/>
        <v>二级</v>
      </c>
    </row>
    <row r="1173" customHeight="1" spans="1:7">
      <c r="A1173" s="3" t="str">
        <f>"1171"</f>
        <v>1171</v>
      </c>
      <c r="B1173" s="3" t="s">
        <v>902</v>
      </c>
      <c r="C1173" s="3" t="str">
        <f>"暮云街道"</f>
        <v>暮云街道</v>
      </c>
      <c r="D1173" s="3" t="str">
        <f>"许兴村"</f>
        <v>许兴村</v>
      </c>
      <c r="E1173" s="3" t="str">
        <f t="shared" si="392"/>
        <v>140</v>
      </c>
      <c r="F1173" s="3" t="str">
        <f t="shared" si="386"/>
        <v>100</v>
      </c>
      <c r="G1173" s="3" t="str">
        <f t="shared" si="396"/>
        <v>二级</v>
      </c>
    </row>
    <row r="1174" customHeight="1" spans="1:7">
      <c r="A1174" s="3" t="str">
        <f>"1172"</f>
        <v>1172</v>
      </c>
      <c r="B1174" s="3" t="s">
        <v>68</v>
      </c>
      <c r="C1174" s="3" t="str">
        <f t="shared" ref="C1174:C1179" si="398">"坡子街街道"</f>
        <v>坡子街街道</v>
      </c>
      <c r="D1174" s="3" t="str">
        <f>"碧湘社区"</f>
        <v>碧湘社区</v>
      </c>
      <c r="E1174" s="3" t="str">
        <f t="shared" si="392"/>
        <v>140</v>
      </c>
      <c r="F1174" s="3" t="str">
        <f t="shared" si="386"/>
        <v>100</v>
      </c>
      <c r="G1174" s="3" t="str">
        <f t="shared" si="396"/>
        <v>二级</v>
      </c>
    </row>
    <row r="1175" customHeight="1" spans="1:7">
      <c r="A1175" s="3" t="str">
        <f>"1173"</f>
        <v>1173</v>
      </c>
      <c r="B1175" s="3" t="s">
        <v>903</v>
      </c>
      <c r="C1175" s="3" t="str">
        <f>"金盆岭街道"</f>
        <v>金盆岭街道</v>
      </c>
      <c r="D1175" s="3" t="str">
        <f>"狮子山社区"</f>
        <v>狮子山社区</v>
      </c>
      <c r="E1175" s="3" t="str">
        <f t="shared" si="392"/>
        <v>140</v>
      </c>
      <c r="F1175" s="3" t="str">
        <f t="shared" si="386"/>
        <v>100</v>
      </c>
      <c r="G1175" s="3" t="str">
        <f t="shared" si="396"/>
        <v>二级</v>
      </c>
    </row>
    <row r="1176" customHeight="1" spans="1:7">
      <c r="A1176" s="3" t="str">
        <f>"1174"</f>
        <v>1174</v>
      </c>
      <c r="B1176" s="3" t="s">
        <v>904</v>
      </c>
      <c r="C1176" s="3" t="str">
        <f>"裕南街街道"</f>
        <v>裕南街街道</v>
      </c>
      <c r="D1176" s="3" t="str">
        <f>"东瓜山社区"</f>
        <v>东瓜山社区</v>
      </c>
      <c r="E1176" s="3" t="str">
        <f t="shared" si="392"/>
        <v>140</v>
      </c>
      <c r="F1176" s="3" t="str">
        <f t="shared" si="386"/>
        <v>100</v>
      </c>
      <c r="G1176" s="3" t="str">
        <f t="shared" si="396"/>
        <v>二级</v>
      </c>
    </row>
    <row r="1177" customHeight="1" spans="1:7">
      <c r="A1177" s="3" t="str">
        <f>"1175"</f>
        <v>1175</v>
      </c>
      <c r="B1177" s="3" t="s">
        <v>905</v>
      </c>
      <c r="C1177" s="3" t="str">
        <f t="shared" si="398"/>
        <v>坡子街街道</v>
      </c>
      <c r="D1177" s="3" t="str">
        <f>"西湖社区"</f>
        <v>西湖社区</v>
      </c>
      <c r="E1177" s="3" t="str">
        <f t="shared" si="392"/>
        <v>140</v>
      </c>
      <c r="F1177" s="3" t="str">
        <f t="shared" si="386"/>
        <v>100</v>
      </c>
      <c r="G1177" s="3" t="str">
        <f t="shared" si="396"/>
        <v>二级</v>
      </c>
    </row>
    <row r="1178" customHeight="1" spans="1:7">
      <c r="A1178" s="3" t="str">
        <f>"1176"</f>
        <v>1176</v>
      </c>
      <c r="B1178" s="3" t="s">
        <v>906</v>
      </c>
      <c r="C1178" s="3" t="str">
        <f>"城南路街道"</f>
        <v>城南路街道</v>
      </c>
      <c r="D1178" s="3" t="str">
        <f>"吴家坪社区"</f>
        <v>吴家坪社区</v>
      </c>
      <c r="E1178" s="3" t="str">
        <f t="shared" si="392"/>
        <v>140</v>
      </c>
      <c r="F1178" s="3" t="str">
        <f t="shared" si="386"/>
        <v>100</v>
      </c>
      <c r="G1178" s="3" t="str">
        <f t="shared" si="396"/>
        <v>二级</v>
      </c>
    </row>
    <row r="1179" customHeight="1" spans="1:7">
      <c r="A1179" s="3" t="str">
        <f>"1177"</f>
        <v>1177</v>
      </c>
      <c r="B1179" s="3" t="s">
        <v>582</v>
      </c>
      <c r="C1179" s="3" t="str">
        <f t="shared" si="398"/>
        <v>坡子街街道</v>
      </c>
      <c r="D1179" s="3" t="str">
        <f>"文庙坪社区"</f>
        <v>文庙坪社区</v>
      </c>
      <c r="E1179" s="3" t="str">
        <f t="shared" si="392"/>
        <v>140</v>
      </c>
      <c r="F1179" s="3" t="str">
        <f t="shared" si="386"/>
        <v>100</v>
      </c>
      <c r="G1179" s="3" t="str">
        <f t="shared" si="396"/>
        <v>二级</v>
      </c>
    </row>
    <row r="1180" customHeight="1" spans="1:7">
      <c r="A1180" s="3" t="str">
        <f>"1178"</f>
        <v>1178</v>
      </c>
      <c r="B1180" s="3" t="s">
        <v>907</v>
      </c>
      <c r="C1180" s="3" t="str">
        <f>"城南路街道"</f>
        <v>城南路街道</v>
      </c>
      <c r="D1180" s="3" t="str">
        <f>"天心阁社区"</f>
        <v>天心阁社区</v>
      </c>
      <c r="E1180" s="3" t="str">
        <f t="shared" si="392"/>
        <v>140</v>
      </c>
      <c r="F1180" s="3" t="str">
        <f t="shared" si="386"/>
        <v>100</v>
      </c>
      <c r="G1180" s="3" t="str">
        <f t="shared" si="396"/>
        <v>二级</v>
      </c>
    </row>
    <row r="1181" customHeight="1" spans="1:7">
      <c r="A1181" s="3" t="str">
        <f>"1179"</f>
        <v>1179</v>
      </c>
      <c r="B1181" s="3" t="s">
        <v>908</v>
      </c>
      <c r="C1181" s="3" t="str">
        <f t="shared" ref="C1181:C1186" si="399">"赤岭路街道"</f>
        <v>赤岭路街道</v>
      </c>
      <c r="D1181" s="3" t="str">
        <f>"白沙花园社区"</f>
        <v>白沙花园社区</v>
      </c>
      <c r="E1181" s="3" t="str">
        <f t="shared" si="392"/>
        <v>140</v>
      </c>
      <c r="F1181" s="3" t="str">
        <f t="shared" si="386"/>
        <v>100</v>
      </c>
      <c r="G1181" s="3" t="str">
        <f t="shared" ref="G1181:G1184" si="400">"一级"</f>
        <v>一级</v>
      </c>
    </row>
    <row r="1182" customHeight="1" spans="1:7">
      <c r="A1182" s="3" t="str">
        <f>"1180"</f>
        <v>1180</v>
      </c>
      <c r="B1182" s="3" t="s">
        <v>20</v>
      </c>
      <c r="C1182" s="3" t="str">
        <f>"文源街道"</f>
        <v>文源街道</v>
      </c>
      <c r="D1182" s="3" t="str">
        <f>"梅岭社区"</f>
        <v>梅岭社区</v>
      </c>
      <c r="E1182" s="3" t="str">
        <f t="shared" si="392"/>
        <v>140</v>
      </c>
      <c r="F1182" s="3" t="str">
        <f t="shared" si="386"/>
        <v>100</v>
      </c>
      <c r="G1182" s="3" t="str">
        <f t="shared" ref="G1182:G1188" si="401">"二级"</f>
        <v>二级</v>
      </c>
    </row>
    <row r="1183" customHeight="1" spans="1:7">
      <c r="A1183" s="3" t="str">
        <f>"1181"</f>
        <v>1181</v>
      </c>
      <c r="B1183" s="3" t="s">
        <v>408</v>
      </c>
      <c r="C1183" s="3" t="str">
        <f>"金盆岭街道"</f>
        <v>金盆岭街道</v>
      </c>
      <c r="D1183" s="3" t="str">
        <f>"黄土岭社区"</f>
        <v>黄土岭社区</v>
      </c>
      <c r="E1183" s="3" t="str">
        <f t="shared" si="392"/>
        <v>140</v>
      </c>
      <c r="F1183" s="3" t="str">
        <f t="shared" si="386"/>
        <v>100</v>
      </c>
      <c r="G1183" s="3" t="str">
        <f t="shared" si="400"/>
        <v>一级</v>
      </c>
    </row>
    <row r="1184" customHeight="1" spans="1:7">
      <c r="A1184" s="3" t="str">
        <f>"1182"</f>
        <v>1182</v>
      </c>
      <c r="B1184" s="3" t="s">
        <v>909</v>
      </c>
      <c r="C1184" s="3" t="str">
        <f>"青园街道"</f>
        <v>青园街道</v>
      </c>
      <c r="D1184" s="3" t="str">
        <f>"井湾子社区"</f>
        <v>井湾子社区</v>
      </c>
      <c r="E1184" s="3" t="str">
        <f t="shared" si="392"/>
        <v>140</v>
      </c>
      <c r="F1184" s="3" t="str">
        <f t="shared" si="386"/>
        <v>100</v>
      </c>
      <c r="G1184" s="3" t="str">
        <f t="shared" si="400"/>
        <v>一级</v>
      </c>
    </row>
    <row r="1185" customHeight="1" spans="1:7">
      <c r="A1185" s="3" t="str">
        <f>"1183"</f>
        <v>1183</v>
      </c>
      <c r="B1185" s="3" t="s">
        <v>910</v>
      </c>
      <c r="C1185" s="3" t="str">
        <f t="shared" si="399"/>
        <v>赤岭路街道</v>
      </c>
      <c r="D1185" s="3" t="str">
        <f>"新丰社区"</f>
        <v>新丰社区</v>
      </c>
      <c r="E1185" s="3" t="str">
        <f t="shared" si="392"/>
        <v>140</v>
      </c>
      <c r="F1185" s="3" t="str">
        <f t="shared" si="386"/>
        <v>100</v>
      </c>
      <c r="G1185" s="3" t="str">
        <f t="shared" si="401"/>
        <v>二级</v>
      </c>
    </row>
    <row r="1186" customHeight="1" spans="1:7">
      <c r="A1186" s="3" t="str">
        <f>"1184"</f>
        <v>1184</v>
      </c>
      <c r="B1186" s="3" t="s">
        <v>709</v>
      </c>
      <c r="C1186" s="3" t="str">
        <f t="shared" si="399"/>
        <v>赤岭路街道</v>
      </c>
      <c r="D1186" s="3" t="str">
        <f>"南大桥社区"</f>
        <v>南大桥社区</v>
      </c>
      <c r="E1186" s="3" t="str">
        <f t="shared" si="392"/>
        <v>140</v>
      </c>
      <c r="F1186" s="3" t="str">
        <f t="shared" si="386"/>
        <v>100</v>
      </c>
      <c r="G1186" s="3" t="str">
        <f t="shared" ref="G1186:G1191" si="402">"一级"</f>
        <v>一级</v>
      </c>
    </row>
    <row r="1187" customHeight="1" spans="1:7">
      <c r="A1187" s="3" t="str">
        <f>"1185"</f>
        <v>1185</v>
      </c>
      <c r="B1187" s="3" t="s">
        <v>72</v>
      </c>
      <c r="C1187" s="3" t="str">
        <f>"金盆岭街道"</f>
        <v>金盆岭街道</v>
      </c>
      <c r="D1187" s="3" t="str">
        <f>"天剑社区"</f>
        <v>天剑社区</v>
      </c>
      <c r="E1187" s="3" t="str">
        <f t="shared" si="392"/>
        <v>140</v>
      </c>
      <c r="F1187" s="3" t="str">
        <f t="shared" si="386"/>
        <v>100</v>
      </c>
      <c r="G1187" s="3" t="str">
        <f t="shared" si="401"/>
        <v>二级</v>
      </c>
    </row>
    <row r="1188" customHeight="1" spans="1:7">
      <c r="A1188" s="3" t="str">
        <f>"1186"</f>
        <v>1186</v>
      </c>
      <c r="B1188" s="3" t="s">
        <v>911</v>
      </c>
      <c r="C1188" s="3" t="str">
        <f t="shared" ref="C1188:C1194" si="403">"坡子街街道"</f>
        <v>坡子街街道</v>
      </c>
      <c r="D1188" s="3" t="str">
        <f t="shared" ref="D1188:D1193" si="404">"坡子街社区"</f>
        <v>坡子街社区</v>
      </c>
      <c r="E1188" s="3" t="str">
        <f t="shared" si="392"/>
        <v>140</v>
      </c>
      <c r="F1188" s="3" t="str">
        <f t="shared" si="386"/>
        <v>100</v>
      </c>
      <c r="G1188" s="3" t="str">
        <f t="shared" si="401"/>
        <v>二级</v>
      </c>
    </row>
    <row r="1189" customHeight="1" spans="1:7">
      <c r="A1189" s="3" t="str">
        <f>"1187"</f>
        <v>1187</v>
      </c>
      <c r="B1189" s="3" t="s">
        <v>912</v>
      </c>
      <c r="C1189" s="3" t="str">
        <f>"城南路街道"</f>
        <v>城南路街道</v>
      </c>
      <c r="D1189" s="3" t="str">
        <f>"工农桥社区"</f>
        <v>工农桥社区</v>
      </c>
      <c r="E1189" s="3" t="str">
        <f t="shared" si="392"/>
        <v>140</v>
      </c>
      <c r="F1189" s="3" t="str">
        <f t="shared" si="386"/>
        <v>100</v>
      </c>
      <c r="G1189" s="3" t="str">
        <f t="shared" si="402"/>
        <v>一级</v>
      </c>
    </row>
    <row r="1190" customHeight="1" spans="1:7">
      <c r="A1190" s="3" t="str">
        <f>"1188"</f>
        <v>1188</v>
      </c>
      <c r="B1190" s="3" t="s">
        <v>484</v>
      </c>
      <c r="C1190" s="3" t="str">
        <f t="shared" si="403"/>
        <v>坡子街街道</v>
      </c>
      <c r="D1190" s="3" t="str">
        <f t="shared" si="404"/>
        <v>坡子街社区</v>
      </c>
      <c r="E1190" s="3" t="str">
        <f t="shared" si="392"/>
        <v>140</v>
      </c>
      <c r="F1190" s="3" t="str">
        <f t="shared" si="386"/>
        <v>100</v>
      </c>
      <c r="G1190" s="3" t="str">
        <f t="shared" ref="G1190:G1194" si="405">"二级"</f>
        <v>二级</v>
      </c>
    </row>
    <row r="1191" customHeight="1" spans="1:7">
      <c r="A1191" s="3" t="str">
        <f>"1189"</f>
        <v>1189</v>
      </c>
      <c r="B1191" s="3" t="s">
        <v>913</v>
      </c>
      <c r="C1191" s="3" t="str">
        <f t="shared" si="403"/>
        <v>坡子街街道</v>
      </c>
      <c r="D1191" s="3" t="str">
        <f t="shared" ref="D1191:D1194" si="406">"登仁桥社区"</f>
        <v>登仁桥社区</v>
      </c>
      <c r="E1191" s="3" t="str">
        <f t="shared" si="392"/>
        <v>140</v>
      </c>
      <c r="F1191" s="3" t="str">
        <f t="shared" si="386"/>
        <v>100</v>
      </c>
      <c r="G1191" s="3" t="str">
        <f t="shared" si="402"/>
        <v>一级</v>
      </c>
    </row>
    <row r="1192" customHeight="1" spans="1:7">
      <c r="A1192" s="3" t="str">
        <f>"1190"</f>
        <v>1190</v>
      </c>
      <c r="B1192" s="3" t="s">
        <v>914</v>
      </c>
      <c r="C1192" s="3" t="str">
        <f t="shared" si="403"/>
        <v>坡子街街道</v>
      </c>
      <c r="D1192" s="3" t="str">
        <f t="shared" si="406"/>
        <v>登仁桥社区</v>
      </c>
      <c r="E1192" s="3" t="str">
        <f t="shared" si="392"/>
        <v>140</v>
      </c>
      <c r="F1192" s="3" t="str">
        <f t="shared" si="386"/>
        <v>100</v>
      </c>
      <c r="G1192" s="3" t="str">
        <f t="shared" si="405"/>
        <v>二级</v>
      </c>
    </row>
    <row r="1193" customHeight="1" spans="1:7">
      <c r="A1193" s="3" t="str">
        <f>"1191"</f>
        <v>1191</v>
      </c>
      <c r="B1193" s="3" t="s">
        <v>558</v>
      </c>
      <c r="C1193" s="3" t="str">
        <f t="shared" si="403"/>
        <v>坡子街街道</v>
      </c>
      <c r="D1193" s="3" t="str">
        <f t="shared" si="404"/>
        <v>坡子街社区</v>
      </c>
      <c r="E1193" s="3" t="str">
        <f t="shared" si="392"/>
        <v>140</v>
      </c>
      <c r="F1193" s="3" t="str">
        <f t="shared" si="386"/>
        <v>100</v>
      </c>
      <c r="G1193" s="3" t="str">
        <f t="shared" si="405"/>
        <v>二级</v>
      </c>
    </row>
    <row r="1194" customHeight="1" spans="1:7">
      <c r="A1194" s="3" t="str">
        <f>"1192"</f>
        <v>1192</v>
      </c>
      <c r="B1194" s="3" t="s">
        <v>915</v>
      </c>
      <c r="C1194" s="3" t="str">
        <f t="shared" si="403"/>
        <v>坡子街街道</v>
      </c>
      <c r="D1194" s="3" t="str">
        <f t="shared" si="406"/>
        <v>登仁桥社区</v>
      </c>
      <c r="E1194" s="3" t="str">
        <f t="shared" si="392"/>
        <v>140</v>
      </c>
      <c r="F1194" s="3" t="str">
        <f t="shared" si="386"/>
        <v>100</v>
      </c>
      <c r="G1194" s="3" t="str">
        <f t="shared" si="405"/>
        <v>二级</v>
      </c>
    </row>
    <row r="1195" customHeight="1" spans="1:7">
      <c r="A1195" s="3" t="str">
        <f>"1193"</f>
        <v>1193</v>
      </c>
      <c r="B1195" s="3" t="s">
        <v>916</v>
      </c>
      <c r="C1195" s="3" t="str">
        <f>"裕南街街道"</f>
        <v>裕南街街道</v>
      </c>
      <c r="D1195" s="3" t="str">
        <f>"向东南社区"</f>
        <v>向东南社区</v>
      </c>
      <c r="E1195" s="3" t="str">
        <f t="shared" si="392"/>
        <v>140</v>
      </c>
      <c r="F1195" s="3" t="str">
        <f t="shared" si="386"/>
        <v>100</v>
      </c>
      <c r="G1195" s="3" t="str">
        <f>"一级"</f>
        <v>一级</v>
      </c>
    </row>
    <row r="1196" customHeight="1" spans="1:7">
      <c r="A1196" s="3" t="str">
        <f>"1194"</f>
        <v>1194</v>
      </c>
      <c r="B1196" s="3" t="s">
        <v>397</v>
      </c>
      <c r="C1196" s="3" t="str">
        <f>"暮云街道"</f>
        <v>暮云街道</v>
      </c>
      <c r="D1196" s="3" t="str">
        <f>"暮云新村"</f>
        <v>暮云新村</v>
      </c>
      <c r="E1196" s="3" t="str">
        <f t="shared" si="392"/>
        <v>140</v>
      </c>
      <c r="F1196" s="3" t="str">
        <f t="shared" si="386"/>
        <v>100</v>
      </c>
      <c r="G1196" s="3" t="str">
        <f t="shared" ref="G1196:G1200" si="407">"二级"</f>
        <v>二级</v>
      </c>
    </row>
    <row r="1197" customHeight="1" spans="1:7">
      <c r="A1197" s="3" t="str">
        <f>"1195"</f>
        <v>1195</v>
      </c>
      <c r="B1197" s="3" t="s">
        <v>131</v>
      </c>
      <c r="C1197" s="3" t="str">
        <f>"坡子街街道"</f>
        <v>坡子街街道</v>
      </c>
      <c r="D1197" s="3" t="str">
        <f>"碧湘社区"</f>
        <v>碧湘社区</v>
      </c>
      <c r="E1197" s="3" t="str">
        <f t="shared" si="392"/>
        <v>140</v>
      </c>
      <c r="F1197" s="3" t="str">
        <f t="shared" si="386"/>
        <v>100</v>
      </c>
      <c r="G1197" s="3" t="str">
        <f t="shared" si="407"/>
        <v>二级</v>
      </c>
    </row>
    <row r="1198" customHeight="1" spans="1:7">
      <c r="A1198" s="3" t="str">
        <f>"1196"</f>
        <v>1196</v>
      </c>
      <c r="B1198" s="3" t="s">
        <v>917</v>
      </c>
      <c r="C1198" s="3" t="str">
        <f>"金盆岭街道"</f>
        <v>金盆岭街道</v>
      </c>
      <c r="D1198" s="3" t="str">
        <f>"赤岭路社区"</f>
        <v>赤岭路社区</v>
      </c>
      <c r="E1198" s="3" t="str">
        <f t="shared" si="392"/>
        <v>140</v>
      </c>
      <c r="F1198" s="3" t="str">
        <f t="shared" si="386"/>
        <v>100</v>
      </c>
      <c r="G1198" s="3" t="str">
        <f t="shared" ref="G1198:G1202" si="408">"一级"</f>
        <v>一级</v>
      </c>
    </row>
    <row r="1199" customHeight="1" spans="1:7">
      <c r="A1199" s="3" t="str">
        <f>"1197"</f>
        <v>1197</v>
      </c>
      <c r="B1199" s="3" t="s">
        <v>918</v>
      </c>
      <c r="C1199" s="3" t="str">
        <f>"坡子街街道"</f>
        <v>坡子街街道</v>
      </c>
      <c r="D1199" s="3" t="str">
        <f>"创远社区"</f>
        <v>创远社区</v>
      </c>
      <c r="E1199" s="3" t="str">
        <f t="shared" si="392"/>
        <v>140</v>
      </c>
      <c r="F1199" s="3" t="str">
        <f t="shared" si="386"/>
        <v>100</v>
      </c>
      <c r="G1199" s="3" t="str">
        <f t="shared" si="407"/>
        <v>二级</v>
      </c>
    </row>
    <row r="1200" customHeight="1" spans="1:7">
      <c r="A1200" s="3" t="str">
        <f>"1198"</f>
        <v>1198</v>
      </c>
      <c r="B1200" s="3" t="s">
        <v>335</v>
      </c>
      <c r="C1200" s="3" t="str">
        <f>"新开铺街道"</f>
        <v>新开铺街道</v>
      </c>
      <c r="D1200" s="3" t="str">
        <f>"豹子岭社区"</f>
        <v>豹子岭社区</v>
      </c>
      <c r="E1200" s="3" t="str">
        <f t="shared" si="392"/>
        <v>140</v>
      </c>
      <c r="F1200" s="3" t="str">
        <f t="shared" si="386"/>
        <v>100</v>
      </c>
      <c r="G1200" s="3" t="str">
        <f t="shared" si="407"/>
        <v>二级</v>
      </c>
    </row>
    <row r="1201" customHeight="1" spans="1:7">
      <c r="A1201" s="3" t="str">
        <f>"1199"</f>
        <v>1199</v>
      </c>
      <c r="B1201" s="3" t="s">
        <v>919</v>
      </c>
      <c r="C1201" s="3" t="str">
        <f>"裕南街街道"</f>
        <v>裕南街街道</v>
      </c>
      <c r="D1201" s="3" t="str">
        <f>"石子冲社区"</f>
        <v>石子冲社区</v>
      </c>
      <c r="E1201" s="3" t="str">
        <f t="shared" si="392"/>
        <v>140</v>
      </c>
      <c r="F1201" s="3" t="str">
        <f t="shared" si="386"/>
        <v>100</v>
      </c>
      <c r="G1201" s="3" t="str">
        <f t="shared" si="408"/>
        <v>一级</v>
      </c>
    </row>
    <row r="1202" customHeight="1" spans="1:7">
      <c r="A1202" s="3" t="str">
        <f>"1200"</f>
        <v>1200</v>
      </c>
      <c r="B1202" s="3" t="s">
        <v>539</v>
      </c>
      <c r="C1202" s="3" t="str">
        <f>"裕南街街道"</f>
        <v>裕南街街道</v>
      </c>
      <c r="D1202" s="3" t="str">
        <f>"仰天湖社区"</f>
        <v>仰天湖社区</v>
      </c>
      <c r="E1202" s="3" t="str">
        <f t="shared" si="392"/>
        <v>140</v>
      </c>
      <c r="F1202" s="3" t="str">
        <f t="shared" si="386"/>
        <v>100</v>
      </c>
      <c r="G1202" s="3" t="str">
        <f t="shared" si="408"/>
        <v>一级</v>
      </c>
    </row>
    <row r="1203" customHeight="1" spans="2:7">
      <c r="B1203" s="3"/>
      <c r="C1203" s="3"/>
      <c r="D1203" s="3"/>
      <c r="E1203" s="3"/>
      <c r="F1203" s="3"/>
      <c r="G1203" s="3"/>
    </row>
  </sheetData>
  <mergeCells count="2">
    <mergeCell ref="A1:G1"/>
    <mergeCell ref="K5:Q5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202"/>
  <sheetViews>
    <sheetView workbookViewId="0">
      <selection activeCell="J5" sqref="J5"/>
    </sheetView>
  </sheetViews>
  <sheetFormatPr defaultColWidth="9" defaultRowHeight="19.95" customHeight="1"/>
  <cols>
    <col min="1" max="1" width="8.7" style="1" customWidth="1"/>
    <col min="2" max="2" width="11.7" style="1" customWidth="1"/>
    <col min="3" max="3" width="14.7" style="1" customWidth="1"/>
    <col min="4" max="4" width="10.7" style="1" customWidth="1"/>
    <col min="5" max="7" width="8.8" style="1"/>
    <col min="8" max="16384" width="8.8" style="7"/>
  </cols>
  <sheetData>
    <row r="1" ht="38" customHeight="1" spans="1:7">
      <c r="A1" s="2" t="s">
        <v>920</v>
      </c>
      <c r="B1" s="2"/>
      <c r="C1" s="2"/>
      <c r="D1" s="2"/>
      <c r="E1" s="2"/>
      <c r="F1" s="2"/>
      <c r="G1" s="2"/>
    </row>
    <row r="2" customHeight="1" spans="1:7">
      <c r="A2" s="3" t="str">
        <f>"1201"</f>
        <v>1201</v>
      </c>
      <c r="B2" s="3" t="s">
        <v>921</v>
      </c>
      <c r="C2" s="3" t="str">
        <f>"新开铺街道"</f>
        <v>新开铺街道</v>
      </c>
      <c r="D2" s="3" t="str">
        <f>"新开铺社区"</f>
        <v>新开铺社区</v>
      </c>
      <c r="E2" s="3" t="str">
        <f t="shared" ref="E2:E65" si="0">"140"</f>
        <v>140</v>
      </c>
      <c r="F2" s="3" t="str">
        <f t="shared" ref="F2:F65" si="1">"100"</f>
        <v>100</v>
      </c>
      <c r="G2" s="3" t="str">
        <f t="shared" ref="G2:G7" si="2">"二级"</f>
        <v>二级</v>
      </c>
    </row>
    <row r="3" customHeight="1" spans="1:7">
      <c r="A3" s="3" t="str">
        <f>"1202"</f>
        <v>1202</v>
      </c>
      <c r="B3" s="3" t="s">
        <v>922</v>
      </c>
      <c r="C3" s="3" t="str">
        <f t="shared" ref="C3:C6" si="3">"裕南街街道"</f>
        <v>裕南街街道</v>
      </c>
      <c r="D3" s="3" t="str">
        <f>"南站社区"</f>
        <v>南站社区</v>
      </c>
      <c r="E3" s="3" t="str">
        <f t="shared" si="0"/>
        <v>140</v>
      </c>
      <c r="F3" s="3" t="str">
        <f t="shared" si="1"/>
        <v>100</v>
      </c>
      <c r="G3" s="3" t="str">
        <f t="shared" ref="G3:G8" si="4">"一级"</f>
        <v>一级</v>
      </c>
    </row>
    <row r="4" customHeight="1" spans="1:18">
      <c r="A4" s="3" t="str">
        <f>"1203"</f>
        <v>1203</v>
      </c>
      <c r="B4" s="3" t="s">
        <v>923</v>
      </c>
      <c r="C4" s="3" t="str">
        <f t="shared" si="3"/>
        <v>裕南街街道</v>
      </c>
      <c r="D4" s="3" t="str">
        <f>"南站社区"</f>
        <v>南站社区</v>
      </c>
      <c r="E4" s="3" t="str">
        <f t="shared" si="0"/>
        <v>140</v>
      </c>
      <c r="F4" s="3" t="str">
        <f t="shared" si="1"/>
        <v>100</v>
      </c>
      <c r="G4" s="3" t="str">
        <f t="shared" si="2"/>
        <v>二级</v>
      </c>
      <c r="L4" s="5"/>
      <c r="M4" s="5"/>
      <c r="N4" s="5"/>
      <c r="O4" s="5"/>
      <c r="P4" s="5"/>
      <c r="Q4" s="5"/>
      <c r="R4" s="5"/>
    </row>
    <row r="5" customHeight="1" spans="1:7">
      <c r="A5" s="3" t="str">
        <f>"1204"</f>
        <v>1204</v>
      </c>
      <c r="B5" s="3" t="s">
        <v>924</v>
      </c>
      <c r="C5" s="3" t="str">
        <f>"新开铺街道"</f>
        <v>新开铺街道</v>
      </c>
      <c r="D5" s="3" t="str">
        <f>"豹子岭社区"</f>
        <v>豹子岭社区</v>
      </c>
      <c r="E5" s="3" t="str">
        <f t="shared" si="0"/>
        <v>140</v>
      </c>
      <c r="F5" s="3" t="str">
        <f t="shared" si="1"/>
        <v>100</v>
      </c>
      <c r="G5" s="3" t="str">
        <f t="shared" si="2"/>
        <v>二级</v>
      </c>
    </row>
    <row r="6" customHeight="1" spans="1:7">
      <c r="A6" s="3" t="str">
        <f>"1205"</f>
        <v>1205</v>
      </c>
      <c r="B6" s="3" t="s">
        <v>925</v>
      </c>
      <c r="C6" s="3" t="str">
        <f t="shared" si="3"/>
        <v>裕南街街道</v>
      </c>
      <c r="D6" s="3" t="str">
        <f>"石子冲社区"</f>
        <v>石子冲社区</v>
      </c>
      <c r="E6" s="3" t="str">
        <f t="shared" si="0"/>
        <v>140</v>
      </c>
      <c r="F6" s="3" t="str">
        <f t="shared" si="1"/>
        <v>100</v>
      </c>
      <c r="G6" s="3" t="str">
        <f t="shared" si="4"/>
        <v>一级</v>
      </c>
    </row>
    <row r="7" customHeight="1" spans="1:7">
      <c r="A7" s="3" t="str">
        <f>"1206"</f>
        <v>1206</v>
      </c>
      <c r="B7" s="3" t="s">
        <v>926</v>
      </c>
      <c r="C7" s="3" t="str">
        <f>"城南路街道"</f>
        <v>城南路街道</v>
      </c>
      <c r="D7" s="3" t="str">
        <f>"天心阁社区"</f>
        <v>天心阁社区</v>
      </c>
      <c r="E7" s="3" t="str">
        <f t="shared" si="0"/>
        <v>140</v>
      </c>
      <c r="F7" s="3" t="str">
        <f t="shared" si="1"/>
        <v>100</v>
      </c>
      <c r="G7" s="3" t="str">
        <f t="shared" si="2"/>
        <v>二级</v>
      </c>
    </row>
    <row r="8" customHeight="1" spans="1:7">
      <c r="A8" s="3" t="str">
        <f>"1207"</f>
        <v>1207</v>
      </c>
      <c r="B8" s="3" t="s">
        <v>927</v>
      </c>
      <c r="C8" s="3" t="str">
        <f>"青园街道"</f>
        <v>青园街道</v>
      </c>
      <c r="D8" s="3" t="str">
        <f>"井湾子社区"</f>
        <v>井湾子社区</v>
      </c>
      <c r="E8" s="3" t="str">
        <f t="shared" si="0"/>
        <v>140</v>
      </c>
      <c r="F8" s="3" t="str">
        <f t="shared" si="1"/>
        <v>100</v>
      </c>
      <c r="G8" s="3" t="str">
        <f t="shared" si="4"/>
        <v>一级</v>
      </c>
    </row>
    <row r="9" customHeight="1" spans="1:7">
      <c r="A9" s="3" t="str">
        <f>"1208"</f>
        <v>1208</v>
      </c>
      <c r="B9" s="3" t="s">
        <v>928</v>
      </c>
      <c r="C9" s="3" t="str">
        <f>"裕南街街道"</f>
        <v>裕南街街道</v>
      </c>
      <c r="D9" s="3" t="str">
        <f>"火把山社区"</f>
        <v>火把山社区</v>
      </c>
      <c r="E9" s="3" t="str">
        <f t="shared" si="0"/>
        <v>140</v>
      </c>
      <c r="F9" s="3" t="str">
        <f t="shared" si="1"/>
        <v>100</v>
      </c>
      <c r="G9" s="3" t="str">
        <f t="shared" ref="G9:G13" si="5">"二级"</f>
        <v>二级</v>
      </c>
    </row>
    <row r="10" customHeight="1" spans="1:7">
      <c r="A10" s="3" t="str">
        <f>"1209"</f>
        <v>1209</v>
      </c>
      <c r="B10" s="3" t="s">
        <v>929</v>
      </c>
      <c r="C10" s="3" t="str">
        <f>"金盆岭街道"</f>
        <v>金盆岭街道</v>
      </c>
      <c r="D10" s="3" t="str">
        <f>"夏家冲社区"</f>
        <v>夏家冲社区</v>
      </c>
      <c r="E10" s="3" t="str">
        <f t="shared" si="0"/>
        <v>140</v>
      </c>
      <c r="F10" s="3" t="str">
        <f t="shared" si="1"/>
        <v>100</v>
      </c>
      <c r="G10" s="3" t="str">
        <f t="shared" ref="G10:G14" si="6">"一级"</f>
        <v>一级</v>
      </c>
    </row>
    <row r="11" customHeight="1" spans="1:7">
      <c r="A11" s="3" t="str">
        <f>"1210"</f>
        <v>1210</v>
      </c>
      <c r="B11" s="3" t="s">
        <v>930</v>
      </c>
      <c r="C11" s="3" t="str">
        <f>"金盆岭街道"</f>
        <v>金盆岭街道</v>
      </c>
      <c r="D11" s="3" t="str">
        <f>"夏家冲社区"</f>
        <v>夏家冲社区</v>
      </c>
      <c r="E11" s="3" t="str">
        <f t="shared" si="0"/>
        <v>140</v>
      </c>
      <c r="F11" s="3" t="str">
        <f t="shared" si="1"/>
        <v>100</v>
      </c>
      <c r="G11" s="3" t="str">
        <f t="shared" si="5"/>
        <v>二级</v>
      </c>
    </row>
    <row r="12" customHeight="1" spans="1:7">
      <c r="A12" s="3" t="str">
        <f>"1211"</f>
        <v>1211</v>
      </c>
      <c r="B12" s="3" t="s">
        <v>931</v>
      </c>
      <c r="C12" s="3" t="str">
        <f>"赤岭路街道"</f>
        <v>赤岭路街道</v>
      </c>
      <c r="D12" s="3" t="str">
        <f>"猴子石社区"</f>
        <v>猴子石社区</v>
      </c>
      <c r="E12" s="3" t="str">
        <f t="shared" si="0"/>
        <v>140</v>
      </c>
      <c r="F12" s="3" t="str">
        <f t="shared" si="1"/>
        <v>100</v>
      </c>
      <c r="G12" s="3" t="str">
        <f t="shared" si="6"/>
        <v>一级</v>
      </c>
    </row>
    <row r="13" customHeight="1" spans="1:7">
      <c r="A13" s="3" t="str">
        <f>"1212"</f>
        <v>1212</v>
      </c>
      <c r="B13" s="3" t="s">
        <v>932</v>
      </c>
      <c r="C13" s="3" t="str">
        <f>"坡子街街道"</f>
        <v>坡子街街道</v>
      </c>
      <c r="D13" s="3" t="str">
        <f>"西湖社区"</f>
        <v>西湖社区</v>
      </c>
      <c r="E13" s="3" t="str">
        <f t="shared" si="0"/>
        <v>140</v>
      </c>
      <c r="F13" s="3" t="str">
        <f t="shared" si="1"/>
        <v>100</v>
      </c>
      <c r="G13" s="3" t="str">
        <f t="shared" si="5"/>
        <v>二级</v>
      </c>
    </row>
    <row r="14" customHeight="1" spans="1:7">
      <c r="A14" s="3" t="str">
        <f>"1213"</f>
        <v>1213</v>
      </c>
      <c r="B14" s="3" t="s">
        <v>933</v>
      </c>
      <c r="C14" s="3" t="str">
        <f t="shared" ref="C14:C20" si="7">"裕南街街道"</f>
        <v>裕南街街道</v>
      </c>
      <c r="D14" s="3" t="str">
        <f>"宝塔山社区"</f>
        <v>宝塔山社区</v>
      </c>
      <c r="E14" s="3" t="str">
        <f t="shared" si="0"/>
        <v>140</v>
      </c>
      <c r="F14" s="3" t="str">
        <f t="shared" si="1"/>
        <v>100</v>
      </c>
      <c r="G14" s="3" t="str">
        <f t="shared" si="6"/>
        <v>一级</v>
      </c>
    </row>
    <row r="15" customHeight="1" spans="1:7">
      <c r="A15" s="3" t="str">
        <f>"1214"</f>
        <v>1214</v>
      </c>
      <c r="B15" s="3" t="s">
        <v>934</v>
      </c>
      <c r="C15" s="3" t="str">
        <f t="shared" si="7"/>
        <v>裕南街街道</v>
      </c>
      <c r="D15" s="3" t="str">
        <f>"宝塔山社区"</f>
        <v>宝塔山社区</v>
      </c>
      <c r="E15" s="3" t="str">
        <f t="shared" si="0"/>
        <v>140</v>
      </c>
      <c r="F15" s="3" t="str">
        <f t="shared" si="1"/>
        <v>100</v>
      </c>
      <c r="G15" s="3" t="str">
        <f t="shared" ref="G15:G21" si="8">"二级"</f>
        <v>二级</v>
      </c>
    </row>
    <row r="16" customHeight="1" spans="1:7">
      <c r="A16" s="3" t="str">
        <f>"1215"</f>
        <v>1215</v>
      </c>
      <c r="B16" s="3" t="s">
        <v>935</v>
      </c>
      <c r="C16" s="3" t="str">
        <f>"赤岭路街道"</f>
        <v>赤岭路街道</v>
      </c>
      <c r="D16" s="3" t="str">
        <f>"广厦新村社区"</f>
        <v>广厦新村社区</v>
      </c>
      <c r="E16" s="3" t="str">
        <f t="shared" si="0"/>
        <v>140</v>
      </c>
      <c r="F16" s="3" t="str">
        <f t="shared" si="1"/>
        <v>100</v>
      </c>
      <c r="G16" s="3" t="str">
        <f t="shared" ref="G16:G19" si="9">"一级"</f>
        <v>一级</v>
      </c>
    </row>
    <row r="17" customHeight="1" spans="1:7">
      <c r="A17" s="3" t="str">
        <f>"1216"</f>
        <v>1216</v>
      </c>
      <c r="B17" s="3" t="s">
        <v>936</v>
      </c>
      <c r="C17" s="3" t="str">
        <f>"金盆岭街道"</f>
        <v>金盆岭街道</v>
      </c>
      <c r="D17" s="3" t="str">
        <f>"赤岭路社区"</f>
        <v>赤岭路社区</v>
      </c>
      <c r="E17" s="3" t="str">
        <f t="shared" si="0"/>
        <v>140</v>
      </c>
      <c r="F17" s="3" t="str">
        <f t="shared" si="1"/>
        <v>100</v>
      </c>
      <c r="G17" s="3" t="str">
        <f t="shared" si="8"/>
        <v>二级</v>
      </c>
    </row>
    <row r="18" customHeight="1" spans="1:7">
      <c r="A18" s="3" t="str">
        <f>"1217"</f>
        <v>1217</v>
      </c>
      <c r="B18" s="3" t="s">
        <v>937</v>
      </c>
      <c r="C18" s="3" t="str">
        <f t="shared" si="7"/>
        <v>裕南街街道</v>
      </c>
      <c r="D18" s="3" t="str">
        <f>"裕南街社区"</f>
        <v>裕南街社区</v>
      </c>
      <c r="E18" s="3" t="str">
        <f t="shared" si="0"/>
        <v>140</v>
      </c>
      <c r="F18" s="3" t="str">
        <f t="shared" si="1"/>
        <v>100</v>
      </c>
      <c r="G18" s="3" t="str">
        <f t="shared" si="9"/>
        <v>一级</v>
      </c>
    </row>
    <row r="19" customHeight="1" spans="1:7">
      <c r="A19" s="3" t="str">
        <f>"1218"</f>
        <v>1218</v>
      </c>
      <c r="B19" s="3" t="s">
        <v>938</v>
      </c>
      <c r="C19" s="3" t="str">
        <f t="shared" si="7"/>
        <v>裕南街街道</v>
      </c>
      <c r="D19" s="3" t="str">
        <f>"杏花园社区"</f>
        <v>杏花园社区</v>
      </c>
      <c r="E19" s="3" t="str">
        <f t="shared" si="0"/>
        <v>140</v>
      </c>
      <c r="F19" s="3" t="str">
        <f t="shared" si="1"/>
        <v>100</v>
      </c>
      <c r="G19" s="3" t="str">
        <f t="shared" si="9"/>
        <v>一级</v>
      </c>
    </row>
    <row r="20" customHeight="1" spans="1:7">
      <c r="A20" s="3" t="str">
        <f>"1219"</f>
        <v>1219</v>
      </c>
      <c r="B20" s="3" t="s">
        <v>939</v>
      </c>
      <c r="C20" s="3" t="str">
        <f t="shared" si="7"/>
        <v>裕南街街道</v>
      </c>
      <c r="D20" s="3" t="str">
        <f>"碧沙湖社区"</f>
        <v>碧沙湖社区</v>
      </c>
      <c r="E20" s="3" t="str">
        <f t="shared" si="0"/>
        <v>140</v>
      </c>
      <c r="F20" s="3" t="str">
        <f t="shared" si="1"/>
        <v>100</v>
      </c>
      <c r="G20" s="3" t="str">
        <f t="shared" si="8"/>
        <v>二级</v>
      </c>
    </row>
    <row r="21" customHeight="1" spans="1:7">
      <c r="A21" s="3" t="str">
        <f>"1220"</f>
        <v>1220</v>
      </c>
      <c r="B21" s="3" t="s">
        <v>940</v>
      </c>
      <c r="C21" s="3" t="str">
        <f>"城南路街道"</f>
        <v>城南路街道</v>
      </c>
      <c r="D21" s="3" t="str">
        <f>"熙台岭社区"</f>
        <v>熙台岭社区</v>
      </c>
      <c r="E21" s="3" t="str">
        <f t="shared" si="0"/>
        <v>140</v>
      </c>
      <c r="F21" s="3" t="str">
        <f t="shared" si="1"/>
        <v>100</v>
      </c>
      <c r="G21" s="3" t="str">
        <f t="shared" si="8"/>
        <v>二级</v>
      </c>
    </row>
    <row r="22" customHeight="1" spans="1:7">
      <c r="A22" s="3" t="str">
        <f>"1221"</f>
        <v>1221</v>
      </c>
      <c r="B22" s="3" t="s">
        <v>884</v>
      </c>
      <c r="C22" s="3" t="str">
        <f>"赤岭路街道"</f>
        <v>赤岭路街道</v>
      </c>
      <c r="D22" s="3" t="str">
        <f>"南大桥社区"</f>
        <v>南大桥社区</v>
      </c>
      <c r="E22" s="3" t="str">
        <f t="shared" si="0"/>
        <v>140</v>
      </c>
      <c r="F22" s="3" t="str">
        <f t="shared" si="1"/>
        <v>100</v>
      </c>
      <c r="G22" s="3" t="str">
        <f>"一级"</f>
        <v>一级</v>
      </c>
    </row>
    <row r="23" customHeight="1" spans="1:7">
      <c r="A23" s="3" t="str">
        <f>"1222"</f>
        <v>1222</v>
      </c>
      <c r="B23" s="3" t="s">
        <v>941</v>
      </c>
      <c r="C23" s="3" t="str">
        <f>"文源街道"</f>
        <v>文源街道</v>
      </c>
      <c r="D23" s="3" t="str">
        <f>"梅岭社区"</f>
        <v>梅岭社区</v>
      </c>
      <c r="E23" s="3" t="str">
        <f t="shared" si="0"/>
        <v>140</v>
      </c>
      <c r="F23" s="3" t="str">
        <f t="shared" si="1"/>
        <v>100</v>
      </c>
      <c r="G23" s="3" t="str">
        <f t="shared" ref="G23:G31" si="10">"二级"</f>
        <v>二级</v>
      </c>
    </row>
    <row r="24" customHeight="1" spans="1:7">
      <c r="A24" s="3" t="str">
        <f>"1223"</f>
        <v>1223</v>
      </c>
      <c r="B24" s="3" t="s">
        <v>942</v>
      </c>
      <c r="C24" s="3" t="str">
        <f>"赤岭路街道"</f>
        <v>赤岭路街道</v>
      </c>
      <c r="D24" s="3" t="str">
        <f>"广厦新村社区"</f>
        <v>广厦新村社区</v>
      </c>
      <c r="E24" s="3" t="str">
        <f t="shared" si="0"/>
        <v>140</v>
      </c>
      <c r="F24" s="3" t="str">
        <f t="shared" si="1"/>
        <v>100</v>
      </c>
      <c r="G24" s="3" t="str">
        <f>"一级"</f>
        <v>一级</v>
      </c>
    </row>
    <row r="25" customHeight="1" spans="1:7">
      <c r="A25" s="3" t="str">
        <f>"1224"</f>
        <v>1224</v>
      </c>
      <c r="B25" s="3" t="s">
        <v>943</v>
      </c>
      <c r="C25" s="3" t="str">
        <f>"金盆岭街道"</f>
        <v>金盆岭街道</v>
      </c>
      <c r="D25" s="3" t="str">
        <f>"赤岭路社区"</f>
        <v>赤岭路社区</v>
      </c>
      <c r="E25" s="3" t="str">
        <f t="shared" si="0"/>
        <v>140</v>
      </c>
      <c r="F25" s="3" t="str">
        <f t="shared" si="1"/>
        <v>100</v>
      </c>
      <c r="G25" s="3" t="str">
        <f t="shared" si="10"/>
        <v>二级</v>
      </c>
    </row>
    <row r="26" customHeight="1" spans="1:7">
      <c r="A26" s="3" t="str">
        <f>"1225"</f>
        <v>1225</v>
      </c>
      <c r="B26" s="3" t="s">
        <v>781</v>
      </c>
      <c r="C26" s="3" t="str">
        <f t="shared" ref="C26:C31" si="11">"坡子街街道"</f>
        <v>坡子街街道</v>
      </c>
      <c r="D26" s="3" t="str">
        <f>"西湖社区"</f>
        <v>西湖社区</v>
      </c>
      <c r="E26" s="3" t="str">
        <f t="shared" si="0"/>
        <v>140</v>
      </c>
      <c r="F26" s="3" t="str">
        <f t="shared" si="1"/>
        <v>100</v>
      </c>
      <c r="G26" s="3" t="str">
        <f t="shared" si="10"/>
        <v>二级</v>
      </c>
    </row>
    <row r="27" customHeight="1" spans="1:7">
      <c r="A27" s="3" t="str">
        <f>"1226"</f>
        <v>1226</v>
      </c>
      <c r="B27" s="3" t="s">
        <v>884</v>
      </c>
      <c r="C27" s="3" t="str">
        <f>"裕南街街道"</f>
        <v>裕南街街道</v>
      </c>
      <c r="D27" s="3" t="str">
        <f>"东瓜山社区"</f>
        <v>东瓜山社区</v>
      </c>
      <c r="E27" s="3" t="str">
        <f t="shared" si="0"/>
        <v>140</v>
      </c>
      <c r="F27" s="3" t="str">
        <f t="shared" si="1"/>
        <v>100</v>
      </c>
      <c r="G27" s="3" t="str">
        <f t="shared" si="10"/>
        <v>二级</v>
      </c>
    </row>
    <row r="28" customHeight="1" spans="1:7">
      <c r="A28" s="3" t="str">
        <f>"1227"</f>
        <v>1227</v>
      </c>
      <c r="B28" s="3" t="s">
        <v>944</v>
      </c>
      <c r="C28" s="3" t="str">
        <f t="shared" si="11"/>
        <v>坡子街街道</v>
      </c>
      <c r="D28" s="3" t="str">
        <f>"文庙坪社区"</f>
        <v>文庙坪社区</v>
      </c>
      <c r="E28" s="3" t="str">
        <f t="shared" si="0"/>
        <v>140</v>
      </c>
      <c r="F28" s="3" t="str">
        <f t="shared" si="1"/>
        <v>100</v>
      </c>
      <c r="G28" s="3" t="str">
        <f t="shared" si="10"/>
        <v>二级</v>
      </c>
    </row>
    <row r="29" customHeight="1" spans="1:7">
      <c r="A29" s="3" t="str">
        <f>"1228"</f>
        <v>1228</v>
      </c>
      <c r="B29" s="3" t="s">
        <v>945</v>
      </c>
      <c r="C29" s="3" t="str">
        <f t="shared" si="11"/>
        <v>坡子街街道</v>
      </c>
      <c r="D29" s="3" t="str">
        <f>"楚湘社区"</f>
        <v>楚湘社区</v>
      </c>
      <c r="E29" s="3" t="str">
        <f t="shared" si="0"/>
        <v>140</v>
      </c>
      <c r="F29" s="3" t="str">
        <f t="shared" si="1"/>
        <v>100</v>
      </c>
      <c r="G29" s="3" t="str">
        <f t="shared" si="10"/>
        <v>二级</v>
      </c>
    </row>
    <row r="30" customHeight="1" spans="1:7">
      <c r="A30" s="3" t="str">
        <f>"1229"</f>
        <v>1229</v>
      </c>
      <c r="B30" s="3" t="s">
        <v>946</v>
      </c>
      <c r="C30" s="3" t="str">
        <f t="shared" si="11"/>
        <v>坡子街街道</v>
      </c>
      <c r="D30" s="3" t="str">
        <f>"碧湘社区"</f>
        <v>碧湘社区</v>
      </c>
      <c r="E30" s="3" t="str">
        <f t="shared" si="0"/>
        <v>140</v>
      </c>
      <c r="F30" s="3" t="str">
        <f t="shared" si="1"/>
        <v>100</v>
      </c>
      <c r="G30" s="3" t="str">
        <f t="shared" si="10"/>
        <v>二级</v>
      </c>
    </row>
    <row r="31" customHeight="1" spans="1:7">
      <c r="A31" s="3" t="str">
        <f>"1230"</f>
        <v>1230</v>
      </c>
      <c r="B31" s="3" t="s">
        <v>947</v>
      </c>
      <c r="C31" s="3" t="str">
        <f t="shared" si="11"/>
        <v>坡子街街道</v>
      </c>
      <c r="D31" s="3" t="str">
        <f>"碧湘社区"</f>
        <v>碧湘社区</v>
      </c>
      <c r="E31" s="3" t="str">
        <f t="shared" si="0"/>
        <v>140</v>
      </c>
      <c r="F31" s="3" t="str">
        <f t="shared" si="1"/>
        <v>100</v>
      </c>
      <c r="G31" s="3" t="str">
        <f t="shared" si="10"/>
        <v>二级</v>
      </c>
    </row>
    <row r="32" customHeight="1" spans="1:7">
      <c r="A32" s="3" t="str">
        <f>"1231"</f>
        <v>1231</v>
      </c>
      <c r="B32" s="3" t="s">
        <v>948</v>
      </c>
      <c r="C32" s="3" t="str">
        <f>"金盆岭街道"</f>
        <v>金盆岭街道</v>
      </c>
      <c r="D32" s="3" t="str">
        <f>"涂新社区"</f>
        <v>涂新社区</v>
      </c>
      <c r="E32" s="3" t="str">
        <f t="shared" si="0"/>
        <v>140</v>
      </c>
      <c r="F32" s="3" t="str">
        <f t="shared" si="1"/>
        <v>100</v>
      </c>
      <c r="G32" s="3" t="str">
        <f t="shared" ref="G32:G38" si="12">"一级"</f>
        <v>一级</v>
      </c>
    </row>
    <row r="33" customHeight="1" spans="1:7">
      <c r="A33" s="3" t="str">
        <f>"1232"</f>
        <v>1232</v>
      </c>
      <c r="B33" s="3" t="s">
        <v>949</v>
      </c>
      <c r="C33" s="3" t="str">
        <f t="shared" ref="C33:C39" si="13">"裕南街街道"</f>
        <v>裕南街街道</v>
      </c>
      <c r="D33" s="3" t="str">
        <f>"火把山社区"</f>
        <v>火把山社区</v>
      </c>
      <c r="E33" s="3" t="str">
        <f t="shared" si="0"/>
        <v>140</v>
      </c>
      <c r="F33" s="3" t="str">
        <f t="shared" si="1"/>
        <v>100</v>
      </c>
      <c r="G33" s="3" t="str">
        <f t="shared" ref="G33:G36" si="14">"二级"</f>
        <v>二级</v>
      </c>
    </row>
    <row r="34" customHeight="1" spans="1:7">
      <c r="A34" s="3" t="str">
        <f>"1233"</f>
        <v>1233</v>
      </c>
      <c r="B34" s="3" t="s">
        <v>950</v>
      </c>
      <c r="C34" s="3" t="str">
        <f>"城南路街道"</f>
        <v>城南路街道</v>
      </c>
      <c r="D34" s="3" t="str">
        <f>"古道巷社区"</f>
        <v>古道巷社区</v>
      </c>
      <c r="E34" s="3" t="str">
        <f t="shared" si="0"/>
        <v>140</v>
      </c>
      <c r="F34" s="3" t="str">
        <f t="shared" si="1"/>
        <v>100</v>
      </c>
      <c r="G34" s="3" t="str">
        <f t="shared" si="12"/>
        <v>一级</v>
      </c>
    </row>
    <row r="35" customHeight="1" spans="1:7">
      <c r="A35" s="3" t="str">
        <f>"1234"</f>
        <v>1234</v>
      </c>
      <c r="B35" s="3" t="s">
        <v>951</v>
      </c>
      <c r="C35" s="3" t="str">
        <f t="shared" si="13"/>
        <v>裕南街街道</v>
      </c>
      <c r="D35" s="3" t="str">
        <f>"东瓜山社区"</f>
        <v>东瓜山社区</v>
      </c>
      <c r="E35" s="3" t="str">
        <f t="shared" si="0"/>
        <v>140</v>
      </c>
      <c r="F35" s="3" t="str">
        <f t="shared" si="1"/>
        <v>100</v>
      </c>
      <c r="G35" s="3" t="str">
        <f t="shared" si="14"/>
        <v>二级</v>
      </c>
    </row>
    <row r="36" customHeight="1" spans="1:7">
      <c r="A36" s="3" t="str">
        <f>"1235"</f>
        <v>1235</v>
      </c>
      <c r="B36" s="3" t="s">
        <v>54</v>
      </c>
      <c r="C36" s="3" t="str">
        <f>"新开铺街道"</f>
        <v>新开铺街道</v>
      </c>
      <c r="D36" s="3" t="str">
        <f>"豹子岭社区"</f>
        <v>豹子岭社区</v>
      </c>
      <c r="E36" s="3" t="str">
        <f t="shared" si="0"/>
        <v>140</v>
      </c>
      <c r="F36" s="3" t="str">
        <f t="shared" si="1"/>
        <v>100</v>
      </c>
      <c r="G36" s="3" t="str">
        <f t="shared" si="14"/>
        <v>二级</v>
      </c>
    </row>
    <row r="37" customHeight="1" spans="1:7">
      <c r="A37" s="3" t="str">
        <f>"1236"</f>
        <v>1236</v>
      </c>
      <c r="B37" s="3" t="s">
        <v>241</v>
      </c>
      <c r="C37" s="3" t="str">
        <f>"赤岭路街道"</f>
        <v>赤岭路街道</v>
      </c>
      <c r="D37" s="3" t="str">
        <f>"广厦新村社区"</f>
        <v>广厦新村社区</v>
      </c>
      <c r="E37" s="3" t="str">
        <f t="shared" si="0"/>
        <v>140</v>
      </c>
      <c r="F37" s="3" t="str">
        <f t="shared" si="1"/>
        <v>100</v>
      </c>
      <c r="G37" s="3" t="str">
        <f t="shared" si="12"/>
        <v>一级</v>
      </c>
    </row>
    <row r="38" customHeight="1" spans="1:7">
      <c r="A38" s="3" t="str">
        <f>"1237"</f>
        <v>1237</v>
      </c>
      <c r="B38" s="3" t="s">
        <v>745</v>
      </c>
      <c r="C38" s="3" t="str">
        <f t="shared" si="13"/>
        <v>裕南街街道</v>
      </c>
      <c r="D38" s="3" t="str">
        <f>"长坡社区"</f>
        <v>长坡社区</v>
      </c>
      <c r="E38" s="3" t="str">
        <f t="shared" si="0"/>
        <v>140</v>
      </c>
      <c r="F38" s="3" t="str">
        <f t="shared" si="1"/>
        <v>100</v>
      </c>
      <c r="G38" s="3" t="str">
        <f t="shared" si="12"/>
        <v>一级</v>
      </c>
    </row>
    <row r="39" customHeight="1" spans="1:7">
      <c r="A39" s="3" t="str">
        <f>"1238"</f>
        <v>1238</v>
      </c>
      <c r="B39" s="3" t="s">
        <v>952</v>
      </c>
      <c r="C39" s="3" t="str">
        <f t="shared" si="13"/>
        <v>裕南街街道</v>
      </c>
      <c r="D39" s="3" t="str">
        <f>"东瓜山社区"</f>
        <v>东瓜山社区</v>
      </c>
      <c r="E39" s="3" t="str">
        <f t="shared" si="0"/>
        <v>140</v>
      </c>
      <c r="F39" s="3" t="str">
        <f t="shared" si="1"/>
        <v>100</v>
      </c>
      <c r="G39" s="3" t="str">
        <f t="shared" ref="G39:G47" si="15">"二级"</f>
        <v>二级</v>
      </c>
    </row>
    <row r="40" customHeight="1" spans="1:7">
      <c r="A40" s="3" t="str">
        <f>"1239"</f>
        <v>1239</v>
      </c>
      <c r="B40" s="3" t="s">
        <v>745</v>
      </c>
      <c r="C40" s="3" t="str">
        <f>"城南路街道"</f>
        <v>城南路街道</v>
      </c>
      <c r="D40" s="3" t="str">
        <f>"天心阁社区"</f>
        <v>天心阁社区</v>
      </c>
      <c r="E40" s="3" t="str">
        <f t="shared" si="0"/>
        <v>140</v>
      </c>
      <c r="F40" s="3" t="str">
        <f t="shared" si="1"/>
        <v>100</v>
      </c>
      <c r="G40" s="3" t="str">
        <f t="shared" si="15"/>
        <v>二级</v>
      </c>
    </row>
    <row r="41" customHeight="1" spans="1:7">
      <c r="A41" s="3" t="str">
        <f>"1240"</f>
        <v>1240</v>
      </c>
      <c r="B41" s="3" t="s">
        <v>267</v>
      </c>
      <c r="C41" s="3" t="str">
        <f>"城南路街道"</f>
        <v>城南路街道</v>
      </c>
      <c r="D41" s="3" t="str">
        <f>"白沙井社区"</f>
        <v>白沙井社区</v>
      </c>
      <c r="E41" s="3" t="str">
        <f t="shared" si="0"/>
        <v>140</v>
      </c>
      <c r="F41" s="3" t="str">
        <f t="shared" si="1"/>
        <v>100</v>
      </c>
      <c r="G41" s="3" t="str">
        <f>"一级"</f>
        <v>一级</v>
      </c>
    </row>
    <row r="42" customHeight="1" spans="1:7">
      <c r="A42" s="3" t="str">
        <f>"1241"</f>
        <v>1241</v>
      </c>
      <c r="B42" s="3" t="s">
        <v>953</v>
      </c>
      <c r="C42" s="3" t="str">
        <f t="shared" ref="C42:C44" si="16">"裕南街街道"</f>
        <v>裕南街街道</v>
      </c>
      <c r="D42" s="3" t="str">
        <f>"仰天湖社区"</f>
        <v>仰天湖社区</v>
      </c>
      <c r="E42" s="3" t="str">
        <f t="shared" si="0"/>
        <v>140</v>
      </c>
      <c r="F42" s="3" t="str">
        <f t="shared" si="1"/>
        <v>100</v>
      </c>
      <c r="G42" s="3" t="str">
        <f>"一级"</f>
        <v>一级</v>
      </c>
    </row>
    <row r="43" customHeight="1" spans="1:7">
      <c r="A43" s="3" t="str">
        <f>"1242"</f>
        <v>1242</v>
      </c>
      <c r="B43" s="3" t="s">
        <v>954</v>
      </c>
      <c r="C43" s="3" t="str">
        <f t="shared" si="16"/>
        <v>裕南街街道</v>
      </c>
      <c r="D43" s="3" t="str">
        <f>"裕南街社区"</f>
        <v>裕南街社区</v>
      </c>
      <c r="E43" s="3" t="str">
        <f t="shared" si="0"/>
        <v>140</v>
      </c>
      <c r="F43" s="3" t="str">
        <f t="shared" si="1"/>
        <v>100</v>
      </c>
      <c r="G43" s="3" t="str">
        <f t="shared" si="15"/>
        <v>二级</v>
      </c>
    </row>
    <row r="44" customHeight="1" spans="1:7">
      <c r="A44" s="3" t="str">
        <f>"1243"</f>
        <v>1243</v>
      </c>
      <c r="B44" s="3" t="s">
        <v>955</v>
      </c>
      <c r="C44" s="3" t="str">
        <f t="shared" si="16"/>
        <v>裕南街街道</v>
      </c>
      <c r="D44" s="3" t="str">
        <f>"宝塔山社区"</f>
        <v>宝塔山社区</v>
      </c>
      <c r="E44" s="3" t="str">
        <f t="shared" si="0"/>
        <v>140</v>
      </c>
      <c r="F44" s="3" t="str">
        <f t="shared" si="1"/>
        <v>100</v>
      </c>
      <c r="G44" s="3" t="str">
        <f t="shared" si="15"/>
        <v>二级</v>
      </c>
    </row>
    <row r="45" customHeight="1" spans="1:7">
      <c r="A45" s="3" t="str">
        <f>"1244"</f>
        <v>1244</v>
      </c>
      <c r="B45" s="3" t="s">
        <v>956</v>
      </c>
      <c r="C45" s="3" t="str">
        <f>"坡子街街道"</f>
        <v>坡子街街道</v>
      </c>
      <c r="D45" s="3" t="str">
        <f>"坡子街社区"</f>
        <v>坡子街社区</v>
      </c>
      <c r="E45" s="3" t="str">
        <f t="shared" si="0"/>
        <v>140</v>
      </c>
      <c r="F45" s="3" t="str">
        <f t="shared" si="1"/>
        <v>100</v>
      </c>
      <c r="G45" s="3" t="str">
        <f t="shared" si="15"/>
        <v>二级</v>
      </c>
    </row>
    <row r="46" customHeight="1" spans="1:7">
      <c r="A46" s="3" t="str">
        <f>"1245"</f>
        <v>1245</v>
      </c>
      <c r="B46" s="3" t="s">
        <v>957</v>
      </c>
      <c r="C46" s="3" t="str">
        <f>"城南路街道"</f>
        <v>城南路街道</v>
      </c>
      <c r="D46" s="3" t="str">
        <f>"吴家坪社区"</f>
        <v>吴家坪社区</v>
      </c>
      <c r="E46" s="3" t="str">
        <f t="shared" si="0"/>
        <v>140</v>
      </c>
      <c r="F46" s="3" t="str">
        <f t="shared" si="1"/>
        <v>100</v>
      </c>
      <c r="G46" s="3" t="str">
        <f t="shared" si="15"/>
        <v>二级</v>
      </c>
    </row>
    <row r="47" customHeight="1" spans="1:7">
      <c r="A47" s="3" t="str">
        <f>"1246"</f>
        <v>1246</v>
      </c>
      <c r="B47" s="3" t="s">
        <v>958</v>
      </c>
      <c r="C47" s="3" t="str">
        <f>"青园街道"</f>
        <v>青园街道</v>
      </c>
      <c r="D47" s="3" t="str">
        <f>"湘园社区"</f>
        <v>湘园社区</v>
      </c>
      <c r="E47" s="3" t="str">
        <f t="shared" si="0"/>
        <v>140</v>
      </c>
      <c r="F47" s="3" t="str">
        <f t="shared" si="1"/>
        <v>100</v>
      </c>
      <c r="G47" s="3" t="str">
        <f t="shared" si="15"/>
        <v>二级</v>
      </c>
    </row>
    <row r="48" customHeight="1" spans="1:7">
      <c r="A48" s="3" t="str">
        <f>"1247"</f>
        <v>1247</v>
      </c>
      <c r="B48" s="3" t="s">
        <v>959</v>
      </c>
      <c r="C48" s="3" t="str">
        <f>"文源街道"</f>
        <v>文源街道</v>
      </c>
      <c r="D48" s="3" t="str">
        <f>"状元坡社区"</f>
        <v>状元坡社区</v>
      </c>
      <c r="E48" s="3" t="str">
        <f t="shared" si="0"/>
        <v>140</v>
      </c>
      <c r="F48" s="3" t="str">
        <f t="shared" si="1"/>
        <v>100</v>
      </c>
      <c r="G48" s="3" t="str">
        <f>"一级"</f>
        <v>一级</v>
      </c>
    </row>
    <row r="49" customHeight="1" spans="1:7">
      <c r="A49" s="3" t="str">
        <f>"1248"</f>
        <v>1248</v>
      </c>
      <c r="B49" s="3" t="s">
        <v>960</v>
      </c>
      <c r="C49" s="3" t="str">
        <f t="shared" ref="C49:C53" si="17">"坡子街街道"</f>
        <v>坡子街街道</v>
      </c>
      <c r="D49" s="3" t="str">
        <f t="shared" ref="D49:D53" si="18">"青山祠社区"</f>
        <v>青山祠社区</v>
      </c>
      <c r="E49" s="3" t="str">
        <f t="shared" si="0"/>
        <v>140</v>
      </c>
      <c r="F49" s="3" t="str">
        <f t="shared" si="1"/>
        <v>100</v>
      </c>
      <c r="G49" s="3" t="str">
        <f t="shared" ref="G49:G53" si="19">"二级"</f>
        <v>二级</v>
      </c>
    </row>
    <row r="50" customHeight="1" spans="1:7">
      <c r="A50" s="3" t="str">
        <f>"1249"</f>
        <v>1249</v>
      </c>
      <c r="B50" s="3" t="s">
        <v>462</v>
      </c>
      <c r="C50" s="3" t="str">
        <f>"赤岭路街道"</f>
        <v>赤岭路街道</v>
      </c>
      <c r="D50" s="3" t="str">
        <f>"新丰社区"</f>
        <v>新丰社区</v>
      </c>
      <c r="E50" s="3" t="str">
        <f t="shared" si="0"/>
        <v>140</v>
      </c>
      <c r="F50" s="3" t="str">
        <f t="shared" si="1"/>
        <v>100</v>
      </c>
      <c r="G50" s="3" t="str">
        <f t="shared" si="19"/>
        <v>二级</v>
      </c>
    </row>
    <row r="51" customHeight="1" spans="1:7">
      <c r="A51" s="3" t="str">
        <f>"1250"</f>
        <v>1250</v>
      </c>
      <c r="B51" s="3" t="s">
        <v>961</v>
      </c>
      <c r="C51" s="3" t="str">
        <f t="shared" si="17"/>
        <v>坡子街街道</v>
      </c>
      <c r="D51" s="3" t="str">
        <f t="shared" si="18"/>
        <v>青山祠社区</v>
      </c>
      <c r="E51" s="3" t="str">
        <f t="shared" si="0"/>
        <v>140</v>
      </c>
      <c r="F51" s="3" t="str">
        <f t="shared" si="1"/>
        <v>100</v>
      </c>
      <c r="G51" s="3" t="str">
        <f>"一级"</f>
        <v>一级</v>
      </c>
    </row>
    <row r="52" customHeight="1" spans="1:7">
      <c r="A52" s="3" t="str">
        <f>"1251"</f>
        <v>1251</v>
      </c>
      <c r="B52" s="3" t="s">
        <v>962</v>
      </c>
      <c r="C52" s="3" t="str">
        <f>"城南路街道"</f>
        <v>城南路街道</v>
      </c>
      <c r="D52" s="3" t="str">
        <f>"吴家坪社区"</f>
        <v>吴家坪社区</v>
      </c>
      <c r="E52" s="3" t="str">
        <f t="shared" si="0"/>
        <v>140</v>
      </c>
      <c r="F52" s="3" t="str">
        <f t="shared" si="1"/>
        <v>100</v>
      </c>
      <c r="G52" s="3" t="str">
        <f t="shared" si="19"/>
        <v>二级</v>
      </c>
    </row>
    <row r="53" customHeight="1" spans="1:7">
      <c r="A53" s="3" t="str">
        <f>"1252"</f>
        <v>1252</v>
      </c>
      <c r="B53" s="3" t="s">
        <v>963</v>
      </c>
      <c r="C53" s="3" t="str">
        <f t="shared" si="17"/>
        <v>坡子街街道</v>
      </c>
      <c r="D53" s="3" t="str">
        <f t="shared" si="18"/>
        <v>青山祠社区</v>
      </c>
      <c r="E53" s="3" t="str">
        <f t="shared" si="0"/>
        <v>140</v>
      </c>
      <c r="F53" s="3" t="str">
        <f t="shared" si="1"/>
        <v>100</v>
      </c>
      <c r="G53" s="3" t="str">
        <f t="shared" si="19"/>
        <v>二级</v>
      </c>
    </row>
    <row r="54" customHeight="1" spans="1:7">
      <c r="A54" s="3" t="str">
        <f>"1253"</f>
        <v>1253</v>
      </c>
      <c r="B54" s="3" t="s">
        <v>964</v>
      </c>
      <c r="C54" s="3" t="str">
        <f>"城南路街道"</f>
        <v>城南路街道</v>
      </c>
      <c r="D54" s="3" t="str">
        <f>"白沙井社区"</f>
        <v>白沙井社区</v>
      </c>
      <c r="E54" s="3" t="str">
        <f t="shared" si="0"/>
        <v>140</v>
      </c>
      <c r="F54" s="3" t="str">
        <f t="shared" si="1"/>
        <v>100</v>
      </c>
      <c r="G54" s="3" t="str">
        <f>"一级"</f>
        <v>一级</v>
      </c>
    </row>
    <row r="55" customHeight="1" spans="1:7">
      <c r="A55" s="3" t="str">
        <f>"1254"</f>
        <v>1254</v>
      </c>
      <c r="B55" s="3" t="s">
        <v>965</v>
      </c>
      <c r="C55" s="3" t="str">
        <f>"裕南街街道"</f>
        <v>裕南街街道</v>
      </c>
      <c r="D55" s="3" t="str">
        <f>"碧沙湖社区"</f>
        <v>碧沙湖社区</v>
      </c>
      <c r="E55" s="3" t="str">
        <f t="shared" si="0"/>
        <v>140</v>
      </c>
      <c r="F55" s="3" t="str">
        <f t="shared" si="1"/>
        <v>100</v>
      </c>
      <c r="G55" s="3" t="str">
        <f t="shared" ref="G55:G59" si="20">"二级"</f>
        <v>二级</v>
      </c>
    </row>
    <row r="56" customHeight="1" spans="1:7">
      <c r="A56" s="3" t="str">
        <f>"1255"</f>
        <v>1255</v>
      </c>
      <c r="B56" s="3" t="s">
        <v>966</v>
      </c>
      <c r="C56" s="3" t="str">
        <f>"金盆岭街道"</f>
        <v>金盆岭街道</v>
      </c>
      <c r="D56" s="3" t="str">
        <f>"黄土岭社区"</f>
        <v>黄土岭社区</v>
      </c>
      <c r="E56" s="3" t="str">
        <f t="shared" si="0"/>
        <v>140</v>
      </c>
      <c r="F56" s="3" t="str">
        <f t="shared" si="1"/>
        <v>100</v>
      </c>
      <c r="G56" s="3" t="str">
        <f t="shared" si="20"/>
        <v>二级</v>
      </c>
    </row>
    <row r="57" customHeight="1" spans="1:7">
      <c r="A57" s="3" t="str">
        <f>"1256"</f>
        <v>1256</v>
      </c>
      <c r="B57" s="3" t="s">
        <v>546</v>
      </c>
      <c r="C57" s="3" t="str">
        <f t="shared" ref="C57:C63" si="21">"暮云街道"</f>
        <v>暮云街道</v>
      </c>
      <c r="D57" s="3" t="str">
        <f t="shared" ref="D57:D63" si="22">"许兴村"</f>
        <v>许兴村</v>
      </c>
      <c r="E57" s="3" t="str">
        <f t="shared" si="0"/>
        <v>140</v>
      </c>
      <c r="F57" s="3" t="str">
        <f t="shared" si="1"/>
        <v>100</v>
      </c>
      <c r="G57" s="3" t="str">
        <f t="shared" si="20"/>
        <v>二级</v>
      </c>
    </row>
    <row r="58" customHeight="1" spans="1:7">
      <c r="A58" s="3" t="str">
        <f>"1257"</f>
        <v>1257</v>
      </c>
      <c r="B58" s="3" t="s">
        <v>967</v>
      </c>
      <c r="C58" s="3" t="str">
        <f t="shared" si="21"/>
        <v>暮云街道</v>
      </c>
      <c r="D58" s="3" t="str">
        <f>"暮云新村"</f>
        <v>暮云新村</v>
      </c>
      <c r="E58" s="3" t="str">
        <f t="shared" si="0"/>
        <v>140</v>
      </c>
      <c r="F58" s="3" t="str">
        <f t="shared" si="1"/>
        <v>100</v>
      </c>
      <c r="G58" s="3" t="str">
        <f t="shared" si="20"/>
        <v>二级</v>
      </c>
    </row>
    <row r="59" customHeight="1" spans="1:7">
      <c r="A59" s="3" t="str">
        <f>"1258"</f>
        <v>1258</v>
      </c>
      <c r="B59" s="3" t="s">
        <v>968</v>
      </c>
      <c r="C59" s="3" t="str">
        <f t="shared" si="21"/>
        <v>暮云街道</v>
      </c>
      <c r="D59" s="3" t="str">
        <f>"莲华村"</f>
        <v>莲华村</v>
      </c>
      <c r="E59" s="3" t="str">
        <f t="shared" si="0"/>
        <v>140</v>
      </c>
      <c r="F59" s="3" t="str">
        <f t="shared" si="1"/>
        <v>100</v>
      </c>
      <c r="G59" s="3" t="str">
        <f t="shared" si="20"/>
        <v>二级</v>
      </c>
    </row>
    <row r="60" customHeight="1" spans="1:7">
      <c r="A60" s="3" t="str">
        <f>"1259"</f>
        <v>1259</v>
      </c>
      <c r="B60" s="3" t="s">
        <v>969</v>
      </c>
      <c r="C60" s="3" t="str">
        <f t="shared" si="21"/>
        <v>暮云街道</v>
      </c>
      <c r="D60" s="3" t="str">
        <f>"莲华村"</f>
        <v>莲华村</v>
      </c>
      <c r="E60" s="3" t="str">
        <f t="shared" si="0"/>
        <v>140</v>
      </c>
      <c r="F60" s="3" t="str">
        <f t="shared" si="1"/>
        <v>100</v>
      </c>
      <c r="G60" s="3" t="str">
        <f>"一级"</f>
        <v>一级</v>
      </c>
    </row>
    <row r="61" customHeight="1" spans="1:7">
      <c r="A61" s="3" t="str">
        <f>"1260"</f>
        <v>1260</v>
      </c>
      <c r="B61" s="3" t="s">
        <v>296</v>
      </c>
      <c r="C61" s="3" t="str">
        <f t="shared" si="21"/>
        <v>暮云街道</v>
      </c>
      <c r="D61" s="3" t="str">
        <f t="shared" si="22"/>
        <v>许兴村</v>
      </c>
      <c r="E61" s="3" t="str">
        <f t="shared" si="0"/>
        <v>140</v>
      </c>
      <c r="F61" s="3" t="str">
        <f t="shared" si="1"/>
        <v>100</v>
      </c>
      <c r="G61" s="3" t="str">
        <f>"一级"</f>
        <v>一级</v>
      </c>
    </row>
    <row r="62" customHeight="1" spans="1:7">
      <c r="A62" s="3" t="str">
        <f>"1261"</f>
        <v>1261</v>
      </c>
      <c r="B62" s="3" t="s">
        <v>579</v>
      </c>
      <c r="C62" s="3" t="str">
        <f t="shared" si="21"/>
        <v>暮云街道</v>
      </c>
      <c r="D62" s="3" t="str">
        <f t="shared" si="22"/>
        <v>许兴村</v>
      </c>
      <c r="E62" s="3" t="str">
        <f t="shared" si="0"/>
        <v>140</v>
      </c>
      <c r="F62" s="3" t="str">
        <f t="shared" si="1"/>
        <v>100</v>
      </c>
      <c r="G62" s="3" t="str">
        <f t="shared" ref="G62:G67" si="23">"二级"</f>
        <v>二级</v>
      </c>
    </row>
    <row r="63" customHeight="1" spans="1:7">
      <c r="A63" s="3" t="str">
        <f>"1262"</f>
        <v>1262</v>
      </c>
      <c r="B63" s="3" t="s">
        <v>132</v>
      </c>
      <c r="C63" s="3" t="str">
        <f t="shared" si="21"/>
        <v>暮云街道</v>
      </c>
      <c r="D63" s="3" t="str">
        <f t="shared" si="22"/>
        <v>许兴村</v>
      </c>
      <c r="E63" s="3" t="str">
        <f t="shared" si="0"/>
        <v>140</v>
      </c>
      <c r="F63" s="3" t="str">
        <f t="shared" si="1"/>
        <v>100</v>
      </c>
      <c r="G63" s="3" t="str">
        <f t="shared" si="23"/>
        <v>二级</v>
      </c>
    </row>
    <row r="64" customHeight="1" spans="1:7">
      <c r="A64" s="3" t="str">
        <f>"1263"</f>
        <v>1263</v>
      </c>
      <c r="B64" s="3" t="s">
        <v>32</v>
      </c>
      <c r="C64" s="3" t="str">
        <f>"裕南街街道"</f>
        <v>裕南街街道</v>
      </c>
      <c r="D64" s="3" t="str">
        <f>"宝塔山社区"</f>
        <v>宝塔山社区</v>
      </c>
      <c r="E64" s="3" t="str">
        <f t="shared" si="0"/>
        <v>140</v>
      </c>
      <c r="F64" s="3" t="str">
        <f t="shared" si="1"/>
        <v>100</v>
      </c>
      <c r="G64" s="3" t="str">
        <f t="shared" si="23"/>
        <v>二级</v>
      </c>
    </row>
    <row r="65" customHeight="1" spans="1:7">
      <c r="A65" s="3" t="str">
        <f>"1264"</f>
        <v>1264</v>
      </c>
      <c r="B65" s="3" t="s">
        <v>76</v>
      </c>
      <c r="C65" s="3" t="str">
        <f t="shared" ref="C65:C69" si="24">"暮云街道"</f>
        <v>暮云街道</v>
      </c>
      <c r="D65" s="3" t="str">
        <f>"莲华村"</f>
        <v>莲华村</v>
      </c>
      <c r="E65" s="3" t="str">
        <f t="shared" si="0"/>
        <v>140</v>
      </c>
      <c r="F65" s="3" t="str">
        <f t="shared" si="1"/>
        <v>100</v>
      </c>
      <c r="G65" s="3" t="str">
        <f t="shared" si="23"/>
        <v>二级</v>
      </c>
    </row>
    <row r="66" customHeight="1" spans="1:7">
      <c r="A66" s="3" t="str">
        <f>"1265"</f>
        <v>1265</v>
      </c>
      <c r="B66" s="3" t="s">
        <v>970</v>
      </c>
      <c r="C66" s="3" t="str">
        <f>"坡子街街道"</f>
        <v>坡子街街道</v>
      </c>
      <c r="D66" s="3" t="str">
        <f>"八角亭社区"</f>
        <v>八角亭社区</v>
      </c>
      <c r="E66" s="3" t="str">
        <f t="shared" ref="E66:E129" si="25">"140"</f>
        <v>140</v>
      </c>
      <c r="F66" s="3" t="str">
        <f t="shared" ref="F66:F75" si="26">"100"</f>
        <v>100</v>
      </c>
      <c r="G66" s="3" t="str">
        <f t="shared" si="23"/>
        <v>二级</v>
      </c>
    </row>
    <row r="67" customHeight="1" spans="1:7">
      <c r="A67" s="3" t="str">
        <f>"1266"</f>
        <v>1266</v>
      </c>
      <c r="B67" s="3" t="s">
        <v>125</v>
      </c>
      <c r="C67" s="3" t="str">
        <f>"南托街道"</f>
        <v>南托街道</v>
      </c>
      <c r="D67" s="3" t="str">
        <f>"滨洲新村"</f>
        <v>滨洲新村</v>
      </c>
      <c r="E67" s="3" t="str">
        <f t="shared" si="25"/>
        <v>140</v>
      </c>
      <c r="F67" s="3" t="str">
        <f t="shared" si="26"/>
        <v>100</v>
      </c>
      <c r="G67" s="3" t="str">
        <f t="shared" si="23"/>
        <v>二级</v>
      </c>
    </row>
    <row r="68" customHeight="1" spans="1:7">
      <c r="A68" s="3" t="str">
        <f>"1267"</f>
        <v>1267</v>
      </c>
      <c r="B68" s="3" t="s">
        <v>500</v>
      </c>
      <c r="C68" s="3" t="str">
        <f t="shared" si="24"/>
        <v>暮云街道</v>
      </c>
      <c r="D68" s="3" t="str">
        <f>"许兴村"</f>
        <v>许兴村</v>
      </c>
      <c r="E68" s="3" t="str">
        <f t="shared" si="25"/>
        <v>140</v>
      </c>
      <c r="F68" s="3" t="str">
        <f t="shared" si="26"/>
        <v>100</v>
      </c>
      <c r="G68" s="3" t="str">
        <f t="shared" ref="G68:G72" si="27">"一级"</f>
        <v>一级</v>
      </c>
    </row>
    <row r="69" customHeight="1" spans="1:7">
      <c r="A69" s="3" t="str">
        <f>"1268"</f>
        <v>1268</v>
      </c>
      <c r="B69" s="3" t="s">
        <v>971</v>
      </c>
      <c r="C69" s="3" t="str">
        <f t="shared" si="24"/>
        <v>暮云街道</v>
      </c>
      <c r="D69" s="3" t="str">
        <f>"暮云新村"</f>
        <v>暮云新村</v>
      </c>
      <c r="E69" s="3" t="str">
        <f t="shared" si="25"/>
        <v>140</v>
      </c>
      <c r="F69" s="3" t="str">
        <f t="shared" si="26"/>
        <v>100</v>
      </c>
      <c r="G69" s="3" t="str">
        <f t="shared" ref="G69:G75" si="28">"二级"</f>
        <v>二级</v>
      </c>
    </row>
    <row r="70" customHeight="1" spans="1:7">
      <c r="A70" s="3" t="str">
        <f>"1269"</f>
        <v>1269</v>
      </c>
      <c r="B70" s="3" t="s">
        <v>589</v>
      </c>
      <c r="C70" s="3" t="str">
        <f>"坡子街街道"</f>
        <v>坡子街街道</v>
      </c>
      <c r="D70" s="3" t="str">
        <f>"登仁桥社区"</f>
        <v>登仁桥社区</v>
      </c>
      <c r="E70" s="3" t="str">
        <f t="shared" si="25"/>
        <v>140</v>
      </c>
      <c r="F70" s="3" t="str">
        <f t="shared" si="26"/>
        <v>100</v>
      </c>
      <c r="G70" s="3" t="str">
        <f t="shared" si="28"/>
        <v>二级</v>
      </c>
    </row>
    <row r="71" customHeight="1" spans="1:7">
      <c r="A71" s="3" t="str">
        <f>"1270"</f>
        <v>1270</v>
      </c>
      <c r="B71" s="3" t="s">
        <v>146</v>
      </c>
      <c r="C71" s="3" t="str">
        <f>"南托街道"</f>
        <v>南托街道</v>
      </c>
      <c r="D71" s="3" t="str">
        <f>"北塘社区"</f>
        <v>北塘社区</v>
      </c>
      <c r="E71" s="3" t="str">
        <f t="shared" si="25"/>
        <v>140</v>
      </c>
      <c r="F71" s="3" t="str">
        <f t="shared" si="26"/>
        <v>100</v>
      </c>
      <c r="G71" s="3" t="str">
        <f t="shared" si="27"/>
        <v>一级</v>
      </c>
    </row>
    <row r="72" customHeight="1" spans="1:7">
      <c r="A72" s="3" t="str">
        <f>"1271"</f>
        <v>1271</v>
      </c>
      <c r="B72" s="3" t="s">
        <v>80</v>
      </c>
      <c r="C72" s="3" t="str">
        <f>"暮云街道"</f>
        <v>暮云街道</v>
      </c>
      <c r="D72" s="3" t="str">
        <f>"莲华村"</f>
        <v>莲华村</v>
      </c>
      <c r="E72" s="3" t="str">
        <f t="shared" si="25"/>
        <v>140</v>
      </c>
      <c r="F72" s="3" t="str">
        <f t="shared" si="26"/>
        <v>100</v>
      </c>
      <c r="G72" s="3" t="str">
        <f t="shared" si="27"/>
        <v>一级</v>
      </c>
    </row>
    <row r="73" customHeight="1" spans="1:7">
      <c r="A73" s="3" t="str">
        <f>"1272"</f>
        <v>1272</v>
      </c>
      <c r="B73" s="3" t="s">
        <v>972</v>
      </c>
      <c r="C73" s="3" t="str">
        <f>"南托街道"</f>
        <v>南托街道</v>
      </c>
      <c r="D73" s="3" t="str">
        <f>"牛角塘村"</f>
        <v>牛角塘村</v>
      </c>
      <c r="E73" s="3" t="str">
        <f t="shared" si="25"/>
        <v>140</v>
      </c>
      <c r="F73" s="3" t="str">
        <f t="shared" si="26"/>
        <v>100</v>
      </c>
      <c r="G73" s="3" t="str">
        <f t="shared" si="28"/>
        <v>二级</v>
      </c>
    </row>
    <row r="74" customHeight="1" spans="1:7">
      <c r="A74" s="3" t="str">
        <f>"1273"</f>
        <v>1273</v>
      </c>
      <c r="B74" s="3" t="s">
        <v>973</v>
      </c>
      <c r="C74" s="3" t="str">
        <f>"桂花坪街道"</f>
        <v>桂花坪街道</v>
      </c>
      <c r="D74" s="3" t="str">
        <f>"金桂社区"</f>
        <v>金桂社区</v>
      </c>
      <c r="E74" s="3" t="str">
        <f t="shared" si="25"/>
        <v>140</v>
      </c>
      <c r="F74" s="3" t="str">
        <f t="shared" si="26"/>
        <v>100</v>
      </c>
      <c r="G74" s="3" t="str">
        <f t="shared" si="28"/>
        <v>二级</v>
      </c>
    </row>
    <row r="75" customHeight="1" spans="1:7">
      <c r="A75" s="3" t="str">
        <f>"1274"</f>
        <v>1274</v>
      </c>
      <c r="B75" s="3" t="s">
        <v>974</v>
      </c>
      <c r="C75" s="3" t="str">
        <f>"城南路街道"</f>
        <v>城南路街道</v>
      </c>
      <c r="D75" s="3" t="str">
        <f>"熙台岭社区"</f>
        <v>熙台岭社区</v>
      </c>
      <c r="E75" s="3" t="str">
        <f t="shared" si="25"/>
        <v>140</v>
      </c>
      <c r="F75" s="3" t="str">
        <f t="shared" si="26"/>
        <v>100</v>
      </c>
      <c r="G75" s="3" t="str">
        <f t="shared" si="28"/>
        <v>二级</v>
      </c>
    </row>
    <row r="76" customHeight="1" spans="1:7">
      <c r="A76" s="3" t="str">
        <f>"1275"</f>
        <v>1275</v>
      </c>
      <c r="B76" s="3" t="s">
        <v>975</v>
      </c>
      <c r="C76" s="3" t="str">
        <f>"暮云街道"</f>
        <v>暮云街道</v>
      </c>
      <c r="D76" s="3" t="str">
        <f>"弘高社区"</f>
        <v>弘高社区</v>
      </c>
      <c r="E76" s="3" t="str">
        <f t="shared" si="25"/>
        <v>140</v>
      </c>
      <c r="F76" s="3" t="str">
        <f>"0"</f>
        <v>0</v>
      </c>
      <c r="G76" s="3" t="str">
        <f>"三级"</f>
        <v>三级</v>
      </c>
    </row>
    <row r="77" customHeight="1" spans="1:7">
      <c r="A77" s="3" t="str">
        <f>"1276"</f>
        <v>1276</v>
      </c>
      <c r="B77" s="3" t="s">
        <v>139</v>
      </c>
      <c r="C77" s="3" t="str">
        <f>"金盆岭街道"</f>
        <v>金盆岭街道</v>
      </c>
      <c r="D77" s="3" t="str">
        <f>"黄土岭社区"</f>
        <v>黄土岭社区</v>
      </c>
      <c r="E77" s="3" t="str">
        <f t="shared" si="25"/>
        <v>140</v>
      </c>
      <c r="F77" s="3" t="str">
        <f t="shared" ref="F77:F140" si="29">"100"</f>
        <v>100</v>
      </c>
      <c r="G77" s="3" t="str">
        <f t="shared" ref="G77:G81" si="30">"二级"</f>
        <v>二级</v>
      </c>
    </row>
    <row r="78" customHeight="1" spans="1:7">
      <c r="A78" s="3" t="str">
        <f>"1277"</f>
        <v>1277</v>
      </c>
      <c r="B78" s="3" t="s">
        <v>976</v>
      </c>
      <c r="C78" s="3" t="str">
        <f>"新开铺街道"</f>
        <v>新开铺街道</v>
      </c>
      <c r="D78" s="3" t="str">
        <f>"木莲社区"</f>
        <v>木莲社区</v>
      </c>
      <c r="E78" s="3" t="str">
        <f t="shared" si="25"/>
        <v>140</v>
      </c>
      <c r="F78" s="3" t="str">
        <f t="shared" si="29"/>
        <v>100</v>
      </c>
      <c r="G78" s="3" t="str">
        <f t="shared" si="30"/>
        <v>二级</v>
      </c>
    </row>
    <row r="79" customHeight="1" spans="1:7">
      <c r="A79" s="3" t="str">
        <f>"1278"</f>
        <v>1278</v>
      </c>
      <c r="B79" s="3" t="s">
        <v>977</v>
      </c>
      <c r="C79" s="3" t="str">
        <f>"黑石铺街道"</f>
        <v>黑石铺街道</v>
      </c>
      <c r="D79" s="3" t="str">
        <f>"一力社区"</f>
        <v>一力社区</v>
      </c>
      <c r="E79" s="3" t="str">
        <f t="shared" si="25"/>
        <v>140</v>
      </c>
      <c r="F79" s="3" t="str">
        <f t="shared" si="29"/>
        <v>100</v>
      </c>
      <c r="G79" s="3" t="str">
        <f t="shared" ref="G79:G82" si="31">"一级"</f>
        <v>一级</v>
      </c>
    </row>
    <row r="80" customHeight="1" spans="1:7">
      <c r="A80" s="3" t="str">
        <f>"1279"</f>
        <v>1279</v>
      </c>
      <c r="B80" s="3" t="s">
        <v>267</v>
      </c>
      <c r="C80" s="3" t="str">
        <f>"新开铺街道"</f>
        <v>新开铺街道</v>
      </c>
      <c r="D80" s="3" t="str">
        <f>"新天村委会"</f>
        <v>新天村委会</v>
      </c>
      <c r="E80" s="3" t="str">
        <f t="shared" si="25"/>
        <v>140</v>
      </c>
      <c r="F80" s="3" t="str">
        <f t="shared" si="29"/>
        <v>100</v>
      </c>
      <c r="G80" s="3" t="str">
        <f t="shared" si="31"/>
        <v>一级</v>
      </c>
    </row>
    <row r="81" customHeight="1" spans="1:7">
      <c r="A81" s="3" t="str">
        <f>"1280"</f>
        <v>1280</v>
      </c>
      <c r="B81" s="3" t="s">
        <v>978</v>
      </c>
      <c r="C81" s="3" t="str">
        <f>"桂花坪街道"</f>
        <v>桂花坪街道</v>
      </c>
      <c r="D81" s="3" t="str">
        <f>"金桂社区"</f>
        <v>金桂社区</v>
      </c>
      <c r="E81" s="3" t="str">
        <f t="shared" si="25"/>
        <v>140</v>
      </c>
      <c r="F81" s="3" t="str">
        <f t="shared" si="29"/>
        <v>100</v>
      </c>
      <c r="G81" s="3" t="str">
        <f t="shared" si="30"/>
        <v>二级</v>
      </c>
    </row>
    <row r="82" customHeight="1" spans="1:7">
      <c r="A82" s="3" t="str">
        <f>"1281"</f>
        <v>1281</v>
      </c>
      <c r="B82" s="3" t="s">
        <v>979</v>
      </c>
      <c r="C82" s="3" t="str">
        <f>"青园街道"</f>
        <v>青园街道</v>
      </c>
      <c r="D82" s="3" t="str">
        <f>"友谊社区"</f>
        <v>友谊社区</v>
      </c>
      <c r="E82" s="3" t="str">
        <f t="shared" si="25"/>
        <v>140</v>
      </c>
      <c r="F82" s="3" t="str">
        <f t="shared" si="29"/>
        <v>100</v>
      </c>
      <c r="G82" s="3" t="str">
        <f t="shared" si="31"/>
        <v>一级</v>
      </c>
    </row>
    <row r="83" customHeight="1" spans="1:7">
      <c r="A83" s="3" t="str">
        <f>"1282"</f>
        <v>1282</v>
      </c>
      <c r="B83" s="3" t="s">
        <v>980</v>
      </c>
      <c r="C83" s="3" t="str">
        <f>"先锋街道"</f>
        <v>先锋街道</v>
      </c>
      <c r="D83" s="3" t="str">
        <f>"新路村委会"</f>
        <v>新路村委会</v>
      </c>
      <c r="E83" s="3" t="str">
        <f t="shared" si="25"/>
        <v>140</v>
      </c>
      <c r="F83" s="3" t="str">
        <f t="shared" si="29"/>
        <v>100</v>
      </c>
      <c r="G83" s="3" t="str">
        <f t="shared" ref="G83:G88" si="32">"二级"</f>
        <v>二级</v>
      </c>
    </row>
    <row r="84" customHeight="1" spans="1:7">
      <c r="A84" s="3" t="str">
        <f>"1283"</f>
        <v>1283</v>
      </c>
      <c r="B84" s="3" t="s">
        <v>981</v>
      </c>
      <c r="C84" s="3" t="str">
        <f>"大托铺街道"</f>
        <v>大托铺街道</v>
      </c>
      <c r="D84" s="3" t="str">
        <f>"桂井村委会"</f>
        <v>桂井村委会</v>
      </c>
      <c r="E84" s="3" t="str">
        <f t="shared" si="25"/>
        <v>140</v>
      </c>
      <c r="F84" s="3" t="str">
        <f t="shared" si="29"/>
        <v>100</v>
      </c>
      <c r="G84" s="3" t="str">
        <f t="shared" ref="G84:G89" si="33">"一级"</f>
        <v>一级</v>
      </c>
    </row>
    <row r="85" customHeight="1" spans="1:7">
      <c r="A85" s="3" t="str">
        <f>"1284"</f>
        <v>1284</v>
      </c>
      <c r="B85" s="3" t="s">
        <v>982</v>
      </c>
      <c r="C85" s="3" t="str">
        <f>"大托铺街道"</f>
        <v>大托铺街道</v>
      </c>
      <c r="D85" s="3" t="str">
        <f>"桂井村委会"</f>
        <v>桂井村委会</v>
      </c>
      <c r="E85" s="3" t="str">
        <f t="shared" si="25"/>
        <v>140</v>
      </c>
      <c r="F85" s="3" t="str">
        <f t="shared" si="29"/>
        <v>100</v>
      </c>
      <c r="G85" s="3" t="str">
        <f t="shared" si="32"/>
        <v>二级</v>
      </c>
    </row>
    <row r="86" customHeight="1" spans="1:7">
      <c r="A86" s="3" t="str">
        <f>"1285"</f>
        <v>1285</v>
      </c>
      <c r="B86" s="3" t="s">
        <v>983</v>
      </c>
      <c r="C86" s="3" t="str">
        <f>"坡子街街道"</f>
        <v>坡子街街道</v>
      </c>
      <c r="D86" s="3" t="str">
        <f>"青山祠社区"</f>
        <v>青山祠社区</v>
      </c>
      <c r="E86" s="3" t="str">
        <f t="shared" si="25"/>
        <v>140</v>
      </c>
      <c r="F86" s="3" t="str">
        <f t="shared" si="29"/>
        <v>100</v>
      </c>
      <c r="G86" s="3" t="str">
        <f t="shared" si="33"/>
        <v>一级</v>
      </c>
    </row>
    <row r="87" customHeight="1" spans="1:7">
      <c r="A87" s="3" t="str">
        <f>"1286"</f>
        <v>1286</v>
      </c>
      <c r="B87" s="3" t="s">
        <v>984</v>
      </c>
      <c r="C87" s="3" t="str">
        <f>"裕南街街道"</f>
        <v>裕南街街道</v>
      </c>
      <c r="D87" s="3" t="str">
        <f>"石子冲社区"</f>
        <v>石子冲社区</v>
      </c>
      <c r="E87" s="3" t="str">
        <f t="shared" si="25"/>
        <v>140</v>
      </c>
      <c r="F87" s="3" t="str">
        <f t="shared" si="29"/>
        <v>100</v>
      </c>
      <c r="G87" s="3" t="str">
        <f t="shared" si="32"/>
        <v>二级</v>
      </c>
    </row>
    <row r="88" customHeight="1" spans="1:7">
      <c r="A88" s="3" t="str">
        <f>"1287"</f>
        <v>1287</v>
      </c>
      <c r="B88" s="3" t="s">
        <v>985</v>
      </c>
      <c r="C88" s="3" t="str">
        <f>"青园街道"</f>
        <v>青园街道</v>
      </c>
      <c r="D88" s="3" t="str">
        <f>"青园社区"</f>
        <v>青园社区</v>
      </c>
      <c r="E88" s="3" t="str">
        <f t="shared" si="25"/>
        <v>140</v>
      </c>
      <c r="F88" s="3" t="str">
        <f t="shared" si="29"/>
        <v>100</v>
      </c>
      <c r="G88" s="3" t="str">
        <f t="shared" si="32"/>
        <v>二级</v>
      </c>
    </row>
    <row r="89" customHeight="1" spans="1:7">
      <c r="A89" s="3" t="str">
        <f>"1288"</f>
        <v>1288</v>
      </c>
      <c r="B89" s="3" t="s">
        <v>539</v>
      </c>
      <c r="C89" s="3" t="str">
        <f>"先锋街道"</f>
        <v>先锋街道</v>
      </c>
      <c r="D89" s="3" t="str">
        <f>"新路村委会"</f>
        <v>新路村委会</v>
      </c>
      <c r="E89" s="3" t="str">
        <f t="shared" si="25"/>
        <v>140</v>
      </c>
      <c r="F89" s="3" t="str">
        <f t="shared" si="29"/>
        <v>100</v>
      </c>
      <c r="G89" s="3" t="str">
        <f t="shared" si="33"/>
        <v>一级</v>
      </c>
    </row>
    <row r="90" customHeight="1" spans="1:7">
      <c r="A90" s="3" t="str">
        <f>"1289"</f>
        <v>1289</v>
      </c>
      <c r="B90" s="3" t="s">
        <v>986</v>
      </c>
      <c r="C90" s="3" t="str">
        <f>"青园街道"</f>
        <v>青园街道</v>
      </c>
      <c r="D90" s="3" t="str">
        <f>"青园社区"</f>
        <v>青园社区</v>
      </c>
      <c r="E90" s="3" t="str">
        <f t="shared" si="25"/>
        <v>140</v>
      </c>
      <c r="F90" s="3" t="str">
        <f t="shared" si="29"/>
        <v>100</v>
      </c>
      <c r="G90" s="3" t="str">
        <f t="shared" ref="G90:G93" si="34">"二级"</f>
        <v>二级</v>
      </c>
    </row>
    <row r="91" customHeight="1" spans="1:7">
      <c r="A91" s="3" t="str">
        <f>"1290"</f>
        <v>1290</v>
      </c>
      <c r="B91" s="3" t="s">
        <v>20</v>
      </c>
      <c r="C91" s="3" t="str">
        <f>"赤岭路街道"</f>
        <v>赤岭路街道</v>
      </c>
      <c r="D91" s="3" t="str">
        <f>"新丰社区"</f>
        <v>新丰社区</v>
      </c>
      <c r="E91" s="3" t="str">
        <f t="shared" si="25"/>
        <v>140</v>
      </c>
      <c r="F91" s="3" t="str">
        <f t="shared" si="29"/>
        <v>100</v>
      </c>
      <c r="G91" s="3" t="str">
        <f t="shared" si="34"/>
        <v>二级</v>
      </c>
    </row>
    <row r="92" customHeight="1" spans="1:7">
      <c r="A92" s="3" t="str">
        <f>"1291"</f>
        <v>1291</v>
      </c>
      <c r="B92" s="3" t="s">
        <v>987</v>
      </c>
      <c r="C92" s="3" t="str">
        <f>"赤岭路街道"</f>
        <v>赤岭路街道</v>
      </c>
      <c r="D92" s="3" t="str">
        <f>"猴子石社区"</f>
        <v>猴子石社区</v>
      </c>
      <c r="E92" s="3" t="str">
        <f t="shared" si="25"/>
        <v>140</v>
      </c>
      <c r="F92" s="3" t="str">
        <f t="shared" si="29"/>
        <v>100</v>
      </c>
      <c r="G92" s="3" t="str">
        <f t="shared" si="34"/>
        <v>二级</v>
      </c>
    </row>
    <row r="93" customHeight="1" spans="1:7">
      <c r="A93" s="3" t="str">
        <f>"1292"</f>
        <v>1292</v>
      </c>
      <c r="B93" s="3" t="s">
        <v>988</v>
      </c>
      <c r="C93" s="3" t="str">
        <f>"大托铺街道"</f>
        <v>大托铺街道</v>
      </c>
      <c r="D93" s="3" t="str">
        <f>"桂井村委会"</f>
        <v>桂井村委会</v>
      </c>
      <c r="E93" s="3" t="str">
        <f t="shared" si="25"/>
        <v>140</v>
      </c>
      <c r="F93" s="3" t="str">
        <f t="shared" si="29"/>
        <v>100</v>
      </c>
      <c r="G93" s="3" t="str">
        <f t="shared" si="34"/>
        <v>二级</v>
      </c>
    </row>
    <row r="94" customHeight="1" spans="1:7">
      <c r="A94" s="3" t="str">
        <f>"1293"</f>
        <v>1293</v>
      </c>
      <c r="B94" s="3" t="s">
        <v>306</v>
      </c>
      <c r="C94" s="3" t="str">
        <f>"新开铺街道"</f>
        <v>新开铺街道</v>
      </c>
      <c r="D94" s="3" t="str">
        <f>"新开铺社区"</f>
        <v>新开铺社区</v>
      </c>
      <c r="E94" s="3" t="str">
        <f t="shared" si="25"/>
        <v>140</v>
      </c>
      <c r="F94" s="3" t="str">
        <f t="shared" si="29"/>
        <v>100</v>
      </c>
      <c r="G94" s="3" t="str">
        <f t="shared" ref="G94:G97" si="35">"一级"</f>
        <v>一级</v>
      </c>
    </row>
    <row r="95" customHeight="1" spans="1:7">
      <c r="A95" s="3" t="str">
        <f>"1294"</f>
        <v>1294</v>
      </c>
      <c r="B95" s="3" t="s">
        <v>989</v>
      </c>
      <c r="C95" s="3" t="str">
        <f>"坡子街街道"</f>
        <v>坡子街街道</v>
      </c>
      <c r="D95" s="3" t="str">
        <f>"文庙坪社区"</f>
        <v>文庙坪社区</v>
      </c>
      <c r="E95" s="3" t="str">
        <f t="shared" si="25"/>
        <v>140</v>
      </c>
      <c r="F95" s="3" t="str">
        <f t="shared" si="29"/>
        <v>100</v>
      </c>
      <c r="G95" s="3" t="str">
        <f t="shared" si="35"/>
        <v>一级</v>
      </c>
    </row>
    <row r="96" customHeight="1" spans="1:7">
      <c r="A96" s="3" t="str">
        <f>"1295"</f>
        <v>1295</v>
      </c>
      <c r="B96" s="3" t="s">
        <v>990</v>
      </c>
      <c r="C96" s="3" t="str">
        <f>"暮云街道"</f>
        <v>暮云街道</v>
      </c>
      <c r="D96" s="3" t="str">
        <f>"许兴村"</f>
        <v>许兴村</v>
      </c>
      <c r="E96" s="3" t="str">
        <f t="shared" si="25"/>
        <v>140</v>
      </c>
      <c r="F96" s="3" t="str">
        <f t="shared" si="29"/>
        <v>100</v>
      </c>
      <c r="G96" s="3" t="str">
        <f>"二级"</f>
        <v>二级</v>
      </c>
    </row>
    <row r="97" customHeight="1" spans="1:7">
      <c r="A97" s="3" t="str">
        <f>"1296"</f>
        <v>1296</v>
      </c>
      <c r="B97" s="3" t="s">
        <v>957</v>
      </c>
      <c r="C97" s="3" t="str">
        <f t="shared" ref="C97:C101" si="36">"南托街道"</f>
        <v>南托街道</v>
      </c>
      <c r="D97" s="3" t="str">
        <f>"牛角塘村"</f>
        <v>牛角塘村</v>
      </c>
      <c r="E97" s="3" t="str">
        <f t="shared" si="25"/>
        <v>140</v>
      </c>
      <c r="F97" s="3" t="str">
        <f t="shared" si="29"/>
        <v>100</v>
      </c>
      <c r="G97" s="3" t="str">
        <f t="shared" si="35"/>
        <v>一级</v>
      </c>
    </row>
    <row r="98" customHeight="1" spans="1:7">
      <c r="A98" s="3" t="str">
        <f>"1297"</f>
        <v>1297</v>
      </c>
      <c r="B98" s="3" t="s">
        <v>872</v>
      </c>
      <c r="C98" s="3" t="str">
        <f t="shared" ref="C98:C103" si="37">"暮云街道"</f>
        <v>暮云街道</v>
      </c>
      <c r="D98" s="3" t="str">
        <f t="shared" ref="D98:D103" si="38">"莲华村"</f>
        <v>莲华村</v>
      </c>
      <c r="E98" s="3" t="str">
        <f t="shared" si="25"/>
        <v>140</v>
      </c>
      <c r="F98" s="3" t="str">
        <f t="shared" si="29"/>
        <v>100</v>
      </c>
      <c r="G98" s="3" t="str">
        <f>"二级"</f>
        <v>二级</v>
      </c>
    </row>
    <row r="99" customHeight="1" spans="1:7">
      <c r="A99" s="3" t="str">
        <f>"1298"</f>
        <v>1298</v>
      </c>
      <c r="B99" s="3" t="s">
        <v>991</v>
      </c>
      <c r="C99" s="3" t="str">
        <f t="shared" si="36"/>
        <v>南托街道</v>
      </c>
      <c r="D99" s="3" t="str">
        <f>"沿江村"</f>
        <v>沿江村</v>
      </c>
      <c r="E99" s="3" t="str">
        <f t="shared" si="25"/>
        <v>140</v>
      </c>
      <c r="F99" s="3" t="str">
        <f t="shared" si="29"/>
        <v>100</v>
      </c>
      <c r="G99" s="3" t="str">
        <f t="shared" ref="G99:G104" si="39">"一级"</f>
        <v>一级</v>
      </c>
    </row>
    <row r="100" customHeight="1" spans="1:7">
      <c r="A100" s="3" t="str">
        <f>"1299"</f>
        <v>1299</v>
      </c>
      <c r="B100" s="3" t="s">
        <v>992</v>
      </c>
      <c r="C100" s="3" t="str">
        <f t="shared" si="36"/>
        <v>南托街道</v>
      </c>
      <c r="D100" s="3" t="str">
        <f>"滨洲新村"</f>
        <v>滨洲新村</v>
      </c>
      <c r="E100" s="3" t="str">
        <f t="shared" si="25"/>
        <v>140</v>
      </c>
      <c r="F100" s="3" t="str">
        <f t="shared" si="29"/>
        <v>100</v>
      </c>
      <c r="G100" s="3" t="str">
        <f t="shared" si="39"/>
        <v>一级</v>
      </c>
    </row>
    <row r="101" customHeight="1" spans="1:7">
      <c r="A101" s="3" t="str">
        <f>"1300"</f>
        <v>1300</v>
      </c>
      <c r="B101" s="3" t="s">
        <v>993</v>
      </c>
      <c r="C101" s="3" t="str">
        <f t="shared" si="36"/>
        <v>南托街道</v>
      </c>
      <c r="D101" s="3" t="str">
        <f>"北塘社区"</f>
        <v>北塘社区</v>
      </c>
      <c r="E101" s="3" t="str">
        <f t="shared" si="25"/>
        <v>140</v>
      </c>
      <c r="F101" s="3" t="str">
        <f t="shared" si="29"/>
        <v>100</v>
      </c>
      <c r="G101" s="3" t="str">
        <f t="shared" si="39"/>
        <v>一级</v>
      </c>
    </row>
    <row r="102" customHeight="1" spans="1:7">
      <c r="A102" s="3" t="str">
        <f>"1301"</f>
        <v>1301</v>
      </c>
      <c r="B102" s="3" t="s">
        <v>994</v>
      </c>
      <c r="C102" s="3" t="str">
        <f t="shared" si="37"/>
        <v>暮云街道</v>
      </c>
      <c r="D102" s="3" t="str">
        <f t="shared" si="38"/>
        <v>莲华村</v>
      </c>
      <c r="E102" s="3" t="str">
        <f t="shared" si="25"/>
        <v>140</v>
      </c>
      <c r="F102" s="3" t="str">
        <f t="shared" si="29"/>
        <v>100</v>
      </c>
      <c r="G102" s="3" t="str">
        <f t="shared" si="39"/>
        <v>一级</v>
      </c>
    </row>
    <row r="103" customHeight="1" spans="1:7">
      <c r="A103" s="3" t="str">
        <f>"1302"</f>
        <v>1302</v>
      </c>
      <c r="B103" s="3" t="s">
        <v>804</v>
      </c>
      <c r="C103" s="3" t="str">
        <f t="shared" si="37"/>
        <v>暮云街道</v>
      </c>
      <c r="D103" s="3" t="str">
        <f t="shared" si="38"/>
        <v>莲华村</v>
      </c>
      <c r="E103" s="3" t="str">
        <f t="shared" si="25"/>
        <v>140</v>
      </c>
      <c r="F103" s="3" t="str">
        <f t="shared" si="29"/>
        <v>100</v>
      </c>
      <c r="G103" s="3" t="str">
        <f t="shared" si="39"/>
        <v>一级</v>
      </c>
    </row>
    <row r="104" customHeight="1" spans="1:7">
      <c r="A104" s="3" t="str">
        <f>"1303"</f>
        <v>1303</v>
      </c>
      <c r="B104" s="3" t="s">
        <v>995</v>
      </c>
      <c r="C104" s="3" t="str">
        <f>"南托街道"</f>
        <v>南托街道</v>
      </c>
      <c r="D104" s="3" t="str">
        <f>"牛角塘村"</f>
        <v>牛角塘村</v>
      </c>
      <c r="E104" s="3" t="str">
        <f t="shared" si="25"/>
        <v>140</v>
      </c>
      <c r="F104" s="3" t="str">
        <f t="shared" si="29"/>
        <v>100</v>
      </c>
      <c r="G104" s="3" t="str">
        <f t="shared" si="39"/>
        <v>一级</v>
      </c>
    </row>
    <row r="105" customHeight="1" spans="1:7">
      <c r="A105" s="3" t="str">
        <f>"1304"</f>
        <v>1304</v>
      </c>
      <c r="B105" s="3" t="s">
        <v>618</v>
      </c>
      <c r="C105" s="3" t="str">
        <f>"暮云街道"</f>
        <v>暮云街道</v>
      </c>
      <c r="D105" s="3" t="str">
        <f>"高云社区"</f>
        <v>高云社区</v>
      </c>
      <c r="E105" s="3" t="str">
        <f t="shared" si="25"/>
        <v>140</v>
      </c>
      <c r="F105" s="3" t="str">
        <f t="shared" si="29"/>
        <v>100</v>
      </c>
      <c r="G105" s="3" t="str">
        <f t="shared" ref="G105:G110" si="40">"二级"</f>
        <v>二级</v>
      </c>
    </row>
    <row r="106" customHeight="1" spans="1:7">
      <c r="A106" s="3" t="str">
        <f>"1305"</f>
        <v>1305</v>
      </c>
      <c r="B106" s="3" t="s">
        <v>988</v>
      </c>
      <c r="C106" s="3" t="str">
        <f>"大托铺街道"</f>
        <v>大托铺街道</v>
      </c>
      <c r="D106" s="3" t="str">
        <f>"大托村委会"</f>
        <v>大托村委会</v>
      </c>
      <c r="E106" s="3" t="str">
        <f t="shared" si="25"/>
        <v>140</v>
      </c>
      <c r="F106" s="3" t="str">
        <f t="shared" si="29"/>
        <v>100</v>
      </c>
      <c r="G106" s="3" t="str">
        <f t="shared" ref="G106:G111" si="41">"一级"</f>
        <v>一级</v>
      </c>
    </row>
    <row r="107" customHeight="1" spans="1:7">
      <c r="A107" s="3" t="str">
        <f>"1306"</f>
        <v>1306</v>
      </c>
      <c r="B107" s="3" t="s">
        <v>996</v>
      </c>
      <c r="C107" s="3" t="str">
        <f>"裕南街街道"</f>
        <v>裕南街街道</v>
      </c>
      <c r="D107" s="3" t="str">
        <f>"石子冲社区"</f>
        <v>石子冲社区</v>
      </c>
      <c r="E107" s="3" t="str">
        <f t="shared" si="25"/>
        <v>140</v>
      </c>
      <c r="F107" s="3" t="str">
        <f t="shared" si="29"/>
        <v>100</v>
      </c>
      <c r="G107" s="3" t="str">
        <f t="shared" si="40"/>
        <v>二级</v>
      </c>
    </row>
    <row r="108" customHeight="1" spans="1:7">
      <c r="A108" s="3" t="str">
        <f>"1307"</f>
        <v>1307</v>
      </c>
      <c r="B108" s="3" t="s">
        <v>266</v>
      </c>
      <c r="C108" s="3" t="str">
        <f>"坡子街街道"</f>
        <v>坡子街街道</v>
      </c>
      <c r="D108" s="3" t="str">
        <f>"西湖社区"</f>
        <v>西湖社区</v>
      </c>
      <c r="E108" s="3" t="str">
        <f t="shared" si="25"/>
        <v>140</v>
      </c>
      <c r="F108" s="3" t="str">
        <f t="shared" si="29"/>
        <v>100</v>
      </c>
      <c r="G108" s="3" t="str">
        <f t="shared" si="41"/>
        <v>一级</v>
      </c>
    </row>
    <row r="109" customHeight="1" spans="1:7">
      <c r="A109" s="3" t="str">
        <f>"1308"</f>
        <v>1308</v>
      </c>
      <c r="B109" s="3" t="s">
        <v>284</v>
      </c>
      <c r="C109" s="3" t="str">
        <f>"坡子街街道"</f>
        <v>坡子街街道</v>
      </c>
      <c r="D109" s="3" t="str">
        <f>"创远社区"</f>
        <v>创远社区</v>
      </c>
      <c r="E109" s="3" t="str">
        <f t="shared" si="25"/>
        <v>140</v>
      </c>
      <c r="F109" s="3" t="str">
        <f t="shared" si="29"/>
        <v>100</v>
      </c>
      <c r="G109" s="3" t="str">
        <f t="shared" si="40"/>
        <v>二级</v>
      </c>
    </row>
    <row r="110" customHeight="1" spans="1:7">
      <c r="A110" s="3" t="str">
        <f>"1309"</f>
        <v>1309</v>
      </c>
      <c r="B110" s="3" t="s">
        <v>997</v>
      </c>
      <c r="C110" s="3" t="str">
        <f>"裕南街街道"</f>
        <v>裕南街街道</v>
      </c>
      <c r="D110" s="3" t="str">
        <f>"南站社区"</f>
        <v>南站社区</v>
      </c>
      <c r="E110" s="3" t="str">
        <f t="shared" si="25"/>
        <v>140</v>
      </c>
      <c r="F110" s="3" t="str">
        <f t="shared" si="29"/>
        <v>100</v>
      </c>
      <c r="G110" s="3" t="str">
        <f t="shared" si="40"/>
        <v>二级</v>
      </c>
    </row>
    <row r="111" customHeight="1" spans="1:7">
      <c r="A111" s="3" t="str">
        <f>"1310"</f>
        <v>1310</v>
      </c>
      <c r="B111" s="3" t="s">
        <v>32</v>
      </c>
      <c r="C111" s="3" t="str">
        <f t="shared" ref="C111:C115" si="42">"南托街道"</f>
        <v>南托街道</v>
      </c>
      <c r="D111" s="3" t="str">
        <f>"牛角塘村"</f>
        <v>牛角塘村</v>
      </c>
      <c r="E111" s="3" t="str">
        <f t="shared" si="25"/>
        <v>140</v>
      </c>
      <c r="F111" s="3" t="str">
        <f t="shared" si="29"/>
        <v>100</v>
      </c>
      <c r="G111" s="3" t="str">
        <f t="shared" si="41"/>
        <v>一级</v>
      </c>
    </row>
    <row r="112" customHeight="1" spans="1:7">
      <c r="A112" s="3" t="str">
        <f>"1311"</f>
        <v>1311</v>
      </c>
      <c r="B112" s="3" t="s">
        <v>80</v>
      </c>
      <c r="C112" s="3" t="str">
        <f t="shared" ref="C112:C116" si="43">"暮云街道"</f>
        <v>暮云街道</v>
      </c>
      <c r="D112" s="3" t="str">
        <f>"莲华村"</f>
        <v>莲华村</v>
      </c>
      <c r="E112" s="3" t="str">
        <f t="shared" si="25"/>
        <v>140</v>
      </c>
      <c r="F112" s="3" t="str">
        <f t="shared" si="29"/>
        <v>100</v>
      </c>
      <c r="G112" s="3" t="str">
        <f t="shared" ref="G112:G115" si="44">"二级"</f>
        <v>二级</v>
      </c>
    </row>
    <row r="113" customHeight="1" spans="1:7">
      <c r="A113" s="3" t="str">
        <f>"1312"</f>
        <v>1312</v>
      </c>
      <c r="B113" s="3" t="s">
        <v>998</v>
      </c>
      <c r="C113" s="3" t="str">
        <f t="shared" si="42"/>
        <v>南托街道</v>
      </c>
      <c r="D113" s="3" t="str">
        <f>"融城社区"</f>
        <v>融城社区</v>
      </c>
      <c r="E113" s="3" t="str">
        <f t="shared" si="25"/>
        <v>140</v>
      </c>
      <c r="F113" s="3" t="str">
        <f t="shared" si="29"/>
        <v>100</v>
      </c>
      <c r="G113" s="3" t="str">
        <f t="shared" si="44"/>
        <v>二级</v>
      </c>
    </row>
    <row r="114" customHeight="1" spans="1:7">
      <c r="A114" s="3" t="str">
        <f>"1313"</f>
        <v>1313</v>
      </c>
      <c r="B114" s="3" t="s">
        <v>336</v>
      </c>
      <c r="C114" s="3" t="str">
        <f t="shared" si="43"/>
        <v>暮云街道</v>
      </c>
      <c r="D114" s="3" t="str">
        <f>"许兴村"</f>
        <v>许兴村</v>
      </c>
      <c r="E114" s="3" t="str">
        <f t="shared" si="25"/>
        <v>140</v>
      </c>
      <c r="F114" s="3" t="str">
        <f t="shared" si="29"/>
        <v>100</v>
      </c>
      <c r="G114" s="3" t="str">
        <f t="shared" si="44"/>
        <v>二级</v>
      </c>
    </row>
    <row r="115" customHeight="1" spans="1:7">
      <c r="A115" s="3" t="str">
        <f>"1314"</f>
        <v>1314</v>
      </c>
      <c r="B115" s="3" t="s">
        <v>68</v>
      </c>
      <c r="C115" s="3" t="str">
        <f t="shared" si="42"/>
        <v>南托街道</v>
      </c>
      <c r="D115" s="3" t="str">
        <f>"北塘社区"</f>
        <v>北塘社区</v>
      </c>
      <c r="E115" s="3" t="str">
        <f t="shared" si="25"/>
        <v>140</v>
      </c>
      <c r="F115" s="3" t="str">
        <f t="shared" si="29"/>
        <v>100</v>
      </c>
      <c r="G115" s="3" t="str">
        <f t="shared" si="44"/>
        <v>二级</v>
      </c>
    </row>
    <row r="116" customHeight="1" spans="1:7">
      <c r="A116" s="3" t="str">
        <f>"1315"</f>
        <v>1315</v>
      </c>
      <c r="B116" s="3" t="s">
        <v>139</v>
      </c>
      <c r="C116" s="3" t="str">
        <f t="shared" si="43"/>
        <v>暮云街道</v>
      </c>
      <c r="D116" s="3" t="str">
        <f>"华月湖社区"</f>
        <v>华月湖社区</v>
      </c>
      <c r="E116" s="3" t="str">
        <f t="shared" si="25"/>
        <v>140</v>
      </c>
      <c r="F116" s="3" t="str">
        <f t="shared" si="29"/>
        <v>100</v>
      </c>
      <c r="G116" s="3" t="str">
        <f t="shared" ref="G116:G122" si="45">"一级"</f>
        <v>一级</v>
      </c>
    </row>
    <row r="117" customHeight="1" spans="1:7">
      <c r="A117" s="3" t="str">
        <f>"1316"</f>
        <v>1316</v>
      </c>
      <c r="B117" s="3" t="s">
        <v>999</v>
      </c>
      <c r="C117" s="3" t="str">
        <f>"金盆岭街道"</f>
        <v>金盆岭街道</v>
      </c>
      <c r="D117" s="3" t="str">
        <f>"夏家冲社区"</f>
        <v>夏家冲社区</v>
      </c>
      <c r="E117" s="3" t="str">
        <f t="shared" si="25"/>
        <v>140</v>
      </c>
      <c r="F117" s="3" t="str">
        <f t="shared" si="29"/>
        <v>100</v>
      </c>
      <c r="G117" s="3" t="str">
        <f t="shared" ref="G117:G120" si="46">"二级"</f>
        <v>二级</v>
      </c>
    </row>
    <row r="118" customHeight="1" spans="1:7">
      <c r="A118" s="3" t="str">
        <f>"1317"</f>
        <v>1317</v>
      </c>
      <c r="B118" s="3" t="s">
        <v>1000</v>
      </c>
      <c r="C118" s="3" t="str">
        <f>"青园街道"</f>
        <v>青园街道</v>
      </c>
      <c r="D118" s="3" t="str">
        <f>"井湾子社区"</f>
        <v>井湾子社区</v>
      </c>
      <c r="E118" s="3" t="str">
        <f t="shared" si="25"/>
        <v>140</v>
      </c>
      <c r="F118" s="3" t="str">
        <f t="shared" si="29"/>
        <v>100</v>
      </c>
      <c r="G118" s="3" t="str">
        <f t="shared" si="46"/>
        <v>二级</v>
      </c>
    </row>
    <row r="119" customHeight="1" spans="1:7">
      <c r="A119" s="3" t="str">
        <f>"1318"</f>
        <v>1318</v>
      </c>
      <c r="B119" s="3" t="s">
        <v>410</v>
      </c>
      <c r="C119" s="3" t="str">
        <f>"大托铺街道"</f>
        <v>大托铺街道</v>
      </c>
      <c r="D119" s="3" t="str">
        <f>"桂井村委会"</f>
        <v>桂井村委会</v>
      </c>
      <c r="E119" s="3" t="str">
        <f t="shared" si="25"/>
        <v>140</v>
      </c>
      <c r="F119" s="3" t="str">
        <f t="shared" si="29"/>
        <v>100</v>
      </c>
      <c r="G119" s="3" t="str">
        <f t="shared" si="45"/>
        <v>一级</v>
      </c>
    </row>
    <row r="120" customHeight="1" spans="1:7">
      <c r="A120" s="3" t="str">
        <f>"1319"</f>
        <v>1319</v>
      </c>
      <c r="B120" s="3" t="s">
        <v>1001</v>
      </c>
      <c r="C120" s="3" t="str">
        <f>"城南路街道"</f>
        <v>城南路街道</v>
      </c>
      <c r="D120" s="3" t="str">
        <f>"天心阁社区"</f>
        <v>天心阁社区</v>
      </c>
      <c r="E120" s="3" t="str">
        <f t="shared" si="25"/>
        <v>140</v>
      </c>
      <c r="F120" s="3" t="str">
        <f t="shared" si="29"/>
        <v>100</v>
      </c>
      <c r="G120" s="3" t="str">
        <f t="shared" si="46"/>
        <v>二级</v>
      </c>
    </row>
    <row r="121" customHeight="1" spans="1:7">
      <c r="A121" s="3" t="str">
        <f>"1320"</f>
        <v>1320</v>
      </c>
      <c r="B121" s="3" t="s">
        <v>1002</v>
      </c>
      <c r="C121" s="3" t="str">
        <f>"青园街道"</f>
        <v>青园街道</v>
      </c>
      <c r="D121" s="3" t="str">
        <f>"井湾子社区"</f>
        <v>井湾子社区</v>
      </c>
      <c r="E121" s="3" t="str">
        <f t="shared" si="25"/>
        <v>140</v>
      </c>
      <c r="F121" s="3" t="str">
        <f t="shared" si="29"/>
        <v>100</v>
      </c>
      <c r="G121" s="3" t="str">
        <f t="shared" si="45"/>
        <v>一级</v>
      </c>
    </row>
    <row r="122" customHeight="1" spans="1:7">
      <c r="A122" s="3" t="str">
        <f>"1321"</f>
        <v>1321</v>
      </c>
      <c r="B122" s="3" t="s">
        <v>1003</v>
      </c>
      <c r="C122" s="3" t="str">
        <f t="shared" ref="C122:C127" si="47">"赤岭路街道"</f>
        <v>赤岭路街道</v>
      </c>
      <c r="D122" s="3" t="str">
        <f>"南大桥社区"</f>
        <v>南大桥社区</v>
      </c>
      <c r="E122" s="3" t="str">
        <f t="shared" si="25"/>
        <v>140</v>
      </c>
      <c r="F122" s="3" t="str">
        <f t="shared" si="29"/>
        <v>100</v>
      </c>
      <c r="G122" s="3" t="str">
        <f t="shared" si="45"/>
        <v>一级</v>
      </c>
    </row>
    <row r="123" customHeight="1" spans="1:7">
      <c r="A123" s="3" t="str">
        <f>"1322"</f>
        <v>1322</v>
      </c>
      <c r="B123" s="3" t="s">
        <v>1004</v>
      </c>
      <c r="C123" s="3" t="str">
        <f t="shared" ref="C123:C125" si="48">"南托街道"</f>
        <v>南托街道</v>
      </c>
      <c r="D123" s="3" t="str">
        <f t="shared" ref="D123:D125" si="49">"融城社区"</f>
        <v>融城社区</v>
      </c>
      <c r="E123" s="3" t="str">
        <f t="shared" si="25"/>
        <v>140</v>
      </c>
      <c r="F123" s="3" t="str">
        <f t="shared" si="29"/>
        <v>100</v>
      </c>
      <c r="G123" s="3" t="str">
        <f t="shared" ref="G123:G135" si="50">"二级"</f>
        <v>二级</v>
      </c>
    </row>
    <row r="124" customHeight="1" spans="1:7">
      <c r="A124" s="3" t="str">
        <f>"1323"</f>
        <v>1323</v>
      </c>
      <c r="B124" s="3" t="s">
        <v>1005</v>
      </c>
      <c r="C124" s="3" t="str">
        <f t="shared" si="48"/>
        <v>南托街道</v>
      </c>
      <c r="D124" s="3" t="str">
        <f t="shared" si="49"/>
        <v>融城社区</v>
      </c>
      <c r="E124" s="3" t="str">
        <f t="shared" si="25"/>
        <v>140</v>
      </c>
      <c r="F124" s="3" t="str">
        <f t="shared" si="29"/>
        <v>100</v>
      </c>
      <c r="G124" s="3" t="str">
        <f t="shared" si="50"/>
        <v>二级</v>
      </c>
    </row>
    <row r="125" customHeight="1" spans="1:7">
      <c r="A125" s="3" t="str">
        <f>"1324"</f>
        <v>1324</v>
      </c>
      <c r="B125" s="3" t="s">
        <v>796</v>
      </c>
      <c r="C125" s="3" t="str">
        <f t="shared" si="48"/>
        <v>南托街道</v>
      </c>
      <c r="D125" s="3" t="str">
        <f t="shared" si="49"/>
        <v>融城社区</v>
      </c>
      <c r="E125" s="3" t="str">
        <f t="shared" si="25"/>
        <v>140</v>
      </c>
      <c r="F125" s="3" t="str">
        <f t="shared" si="29"/>
        <v>100</v>
      </c>
      <c r="G125" s="3" t="str">
        <f>"一级"</f>
        <v>一级</v>
      </c>
    </row>
    <row r="126" customHeight="1" spans="1:7">
      <c r="A126" s="3" t="str">
        <f>"1325"</f>
        <v>1325</v>
      </c>
      <c r="B126" s="3" t="s">
        <v>146</v>
      </c>
      <c r="C126" s="3" t="str">
        <f t="shared" si="47"/>
        <v>赤岭路街道</v>
      </c>
      <c r="D126" s="3" t="str">
        <f>"南大桥社区"</f>
        <v>南大桥社区</v>
      </c>
      <c r="E126" s="3" t="str">
        <f t="shared" si="25"/>
        <v>140</v>
      </c>
      <c r="F126" s="3" t="str">
        <f t="shared" si="29"/>
        <v>100</v>
      </c>
      <c r="G126" s="3" t="str">
        <f t="shared" si="50"/>
        <v>二级</v>
      </c>
    </row>
    <row r="127" customHeight="1" spans="1:7">
      <c r="A127" s="3" t="str">
        <f>"1326"</f>
        <v>1326</v>
      </c>
      <c r="B127" s="3" t="s">
        <v>1006</v>
      </c>
      <c r="C127" s="3" t="str">
        <f t="shared" si="47"/>
        <v>赤岭路街道</v>
      </c>
      <c r="D127" s="3" t="str">
        <f>"新丰社区"</f>
        <v>新丰社区</v>
      </c>
      <c r="E127" s="3" t="str">
        <f t="shared" si="25"/>
        <v>140</v>
      </c>
      <c r="F127" s="3" t="str">
        <f t="shared" si="29"/>
        <v>100</v>
      </c>
      <c r="G127" s="3" t="str">
        <f t="shared" si="50"/>
        <v>二级</v>
      </c>
    </row>
    <row r="128" customHeight="1" spans="1:7">
      <c r="A128" s="3" t="str">
        <f>"1327"</f>
        <v>1327</v>
      </c>
      <c r="B128" s="3" t="s">
        <v>1007</v>
      </c>
      <c r="C128" s="3" t="str">
        <f t="shared" ref="C128:C133" si="51">"城南路街道"</f>
        <v>城南路街道</v>
      </c>
      <c r="D128" s="3" t="str">
        <f>"古道巷社区"</f>
        <v>古道巷社区</v>
      </c>
      <c r="E128" s="3" t="str">
        <f t="shared" si="25"/>
        <v>140</v>
      </c>
      <c r="F128" s="3" t="str">
        <f t="shared" si="29"/>
        <v>100</v>
      </c>
      <c r="G128" s="3" t="str">
        <f t="shared" si="50"/>
        <v>二级</v>
      </c>
    </row>
    <row r="129" customHeight="1" spans="1:7">
      <c r="A129" s="3" t="str">
        <f>"1328"</f>
        <v>1328</v>
      </c>
      <c r="B129" s="3" t="s">
        <v>1008</v>
      </c>
      <c r="C129" s="3" t="str">
        <f>"赤岭路街道"</f>
        <v>赤岭路街道</v>
      </c>
      <c r="D129" s="3" t="str">
        <f>"猴子石社区"</f>
        <v>猴子石社区</v>
      </c>
      <c r="E129" s="3" t="str">
        <f t="shared" si="25"/>
        <v>140</v>
      </c>
      <c r="F129" s="3" t="str">
        <f t="shared" si="29"/>
        <v>100</v>
      </c>
      <c r="G129" s="3" t="str">
        <f t="shared" si="50"/>
        <v>二级</v>
      </c>
    </row>
    <row r="130" customHeight="1" spans="1:7">
      <c r="A130" s="3" t="str">
        <f>"1329"</f>
        <v>1329</v>
      </c>
      <c r="B130" s="3" t="s">
        <v>1009</v>
      </c>
      <c r="C130" s="3" t="str">
        <f t="shared" si="51"/>
        <v>城南路街道</v>
      </c>
      <c r="D130" s="3" t="str">
        <f>"熙台岭社区"</f>
        <v>熙台岭社区</v>
      </c>
      <c r="E130" s="3" t="str">
        <f t="shared" ref="E130:E193" si="52">"140"</f>
        <v>140</v>
      </c>
      <c r="F130" s="3" t="str">
        <f t="shared" si="29"/>
        <v>100</v>
      </c>
      <c r="G130" s="3" t="str">
        <f t="shared" si="50"/>
        <v>二级</v>
      </c>
    </row>
    <row r="131" customHeight="1" spans="1:7">
      <c r="A131" s="3" t="str">
        <f>"1330"</f>
        <v>1330</v>
      </c>
      <c r="B131" s="3" t="s">
        <v>1010</v>
      </c>
      <c r="C131" s="3" t="str">
        <f>"新开铺街道"</f>
        <v>新开铺街道</v>
      </c>
      <c r="D131" s="3" t="str">
        <f>"新天村委会"</f>
        <v>新天村委会</v>
      </c>
      <c r="E131" s="3" t="str">
        <f t="shared" si="52"/>
        <v>140</v>
      </c>
      <c r="F131" s="3" t="str">
        <f t="shared" si="29"/>
        <v>100</v>
      </c>
      <c r="G131" s="3" t="str">
        <f t="shared" si="50"/>
        <v>二级</v>
      </c>
    </row>
    <row r="132" customHeight="1" spans="1:7">
      <c r="A132" s="3" t="str">
        <f>"1331"</f>
        <v>1331</v>
      </c>
      <c r="B132" s="3" t="s">
        <v>307</v>
      </c>
      <c r="C132" s="3" t="str">
        <f>"坡子街街道"</f>
        <v>坡子街街道</v>
      </c>
      <c r="D132" s="3" t="str">
        <f>"碧湘社区"</f>
        <v>碧湘社区</v>
      </c>
      <c r="E132" s="3" t="str">
        <f t="shared" si="52"/>
        <v>140</v>
      </c>
      <c r="F132" s="3" t="str">
        <f t="shared" si="29"/>
        <v>100</v>
      </c>
      <c r="G132" s="3" t="str">
        <f t="shared" si="50"/>
        <v>二级</v>
      </c>
    </row>
    <row r="133" customHeight="1" spans="1:7">
      <c r="A133" s="3" t="str">
        <f>"1332"</f>
        <v>1332</v>
      </c>
      <c r="B133" s="3" t="s">
        <v>80</v>
      </c>
      <c r="C133" s="3" t="str">
        <f t="shared" si="51"/>
        <v>城南路街道</v>
      </c>
      <c r="D133" s="3" t="str">
        <f>"燕子岭社区"</f>
        <v>燕子岭社区</v>
      </c>
      <c r="E133" s="3" t="str">
        <f t="shared" si="52"/>
        <v>140</v>
      </c>
      <c r="F133" s="3" t="str">
        <f t="shared" si="29"/>
        <v>100</v>
      </c>
      <c r="G133" s="3" t="str">
        <f t="shared" si="50"/>
        <v>二级</v>
      </c>
    </row>
    <row r="134" customHeight="1" spans="1:7">
      <c r="A134" s="3" t="str">
        <f>"1333"</f>
        <v>1333</v>
      </c>
      <c r="B134" s="3" t="s">
        <v>1011</v>
      </c>
      <c r="C134" s="3" t="str">
        <f>"青园街道"</f>
        <v>青园街道</v>
      </c>
      <c r="D134" s="3" t="str">
        <f>"井湾子社区"</f>
        <v>井湾子社区</v>
      </c>
      <c r="E134" s="3" t="str">
        <f t="shared" si="52"/>
        <v>140</v>
      </c>
      <c r="F134" s="3" t="str">
        <f t="shared" si="29"/>
        <v>100</v>
      </c>
      <c r="G134" s="3" t="str">
        <f t="shared" si="50"/>
        <v>二级</v>
      </c>
    </row>
    <row r="135" customHeight="1" spans="1:7">
      <c r="A135" s="3" t="str">
        <f>"1334"</f>
        <v>1334</v>
      </c>
      <c r="B135" s="3" t="s">
        <v>1012</v>
      </c>
      <c r="C135" s="3" t="str">
        <f t="shared" ref="C135:C138" si="53">"金盆岭街道"</f>
        <v>金盆岭街道</v>
      </c>
      <c r="D135" s="3" t="str">
        <f>"天剑社区"</f>
        <v>天剑社区</v>
      </c>
      <c r="E135" s="3" t="str">
        <f t="shared" si="52"/>
        <v>140</v>
      </c>
      <c r="F135" s="3" t="str">
        <f t="shared" si="29"/>
        <v>100</v>
      </c>
      <c r="G135" s="3" t="str">
        <f t="shared" si="50"/>
        <v>二级</v>
      </c>
    </row>
    <row r="136" customHeight="1" spans="1:7">
      <c r="A136" s="3" t="str">
        <f>"1335"</f>
        <v>1335</v>
      </c>
      <c r="B136" s="3" t="s">
        <v>1013</v>
      </c>
      <c r="C136" s="3" t="str">
        <f t="shared" si="53"/>
        <v>金盆岭街道</v>
      </c>
      <c r="D136" s="3" t="str">
        <f>"天剑社区"</f>
        <v>天剑社区</v>
      </c>
      <c r="E136" s="3" t="str">
        <f t="shared" si="52"/>
        <v>140</v>
      </c>
      <c r="F136" s="3" t="str">
        <f t="shared" si="29"/>
        <v>100</v>
      </c>
      <c r="G136" s="3" t="str">
        <f t="shared" ref="G136:G140" si="54">"一级"</f>
        <v>一级</v>
      </c>
    </row>
    <row r="137" customHeight="1" spans="1:7">
      <c r="A137" s="3" t="str">
        <f>"1336"</f>
        <v>1336</v>
      </c>
      <c r="B137" s="3" t="s">
        <v>1014</v>
      </c>
      <c r="C137" s="3" t="str">
        <f>"坡子街街道"</f>
        <v>坡子街街道</v>
      </c>
      <c r="D137" s="3" t="str">
        <f>"文庙坪社区"</f>
        <v>文庙坪社区</v>
      </c>
      <c r="E137" s="3" t="str">
        <f t="shared" si="52"/>
        <v>140</v>
      </c>
      <c r="F137" s="3" t="str">
        <f t="shared" si="29"/>
        <v>100</v>
      </c>
      <c r="G137" s="3" t="str">
        <f t="shared" si="54"/>
        <v>一级</v>
      </c>
    </row>
    <row r="138" customHeight="1" spans="1:7">
      <c r="A138" s="3" t="str">
        <f>"1337"</f>
        <v>1337</v>
      </c>
      <c r="B138" s="3" t="s">
        <v>141</v>
      </c>
      <c r="C138" s="3" t="str">
        <f t="shared" si="53"/>
        <v>金盆岭街道</v>
      </c>
      <c r="D138" s="3" t="str">
        <f>"夏家冲社区"</f>
        <v>夏家冲社区</v>
      </c>
      <c r="E138" s="3" t="str">
        <f t="shared" si="52"/>
        <v>140</v>
      </c>
      <c r="F138" s="3" t="str">
        <f t="shared" si="29"/>
        <v>100</v>
      </c>
      <c r="G138" s="3" t="str">
        <f t="shared" ref="G138:G141" si="55">"二级"</f>
        <v>二级</v>
      </c>
    </row>
    <row r="139" customHeight="1" spans="1:7">
      <c r="A139" s="3" t="str">
        <f>"1338"</f>
        <v>1338</v>
      </c>
      <c r="B139" s="3" t="s">
        <v>1015</v>
      </c>
      <c r="C139" s="3" t="str">
        <f>"城南路街道"</f>
        <v>城南路街道</v>
      </c>
      <c r="D139" s="3" t="str">
        <f>"古道巷社区"</f>
        <v>古道巷社区</v>
      </c>
      <c r="E139" s="3" t="str">
        <f t="shared" si="52"/>
        <v>140</v>
      </c>
      <c r="F139" s="3" t="str">
        <f t="shared" si="29"/>
        <v>100</v>
      </c>
      <c r="G139" s="3" t="str">
        <f t="shared" si="55"/>
        <v>二级</v>
      </c>
    </row>
    <row r="140" customHeight="1" spans="1:7">
      <c r="A140" s="3" t="str">
        <f>"1339"</f>
        <v>1339</v>
      </c>
      <c r="B140" s="3" t="s">
        <v>321</v>
      </c>
      <c r="C140" s="3" t="str">
        <f t="shared" ref="C140:C144" si="56">"赤岭路街道"</f>
        <v>赤岭路街道</v>
      </c>
      <c r="D140" s="3" t="str">
        <f>"广厦新村社区"</f>
        <v>广厦新村社区</v>
      </c>
      <c r="E140" s="3" t="str">
        <f t="shared" si="52"/>
        <v>140</v>
      </c>
      <c r="F140" s="3" t="str">
        <f t="shared" si="29"/>
        <v>100</v>
      </c>
      <c r="G140" s="3" t="str">
        <f t="shared" si="54"/>
        <v>一级</v>
      </c>
    </row>
    <row r="141" customHeight="1" spans="1:7">
      <c r="A141" s="3" t="str">
        <f>"1340"</f>
        <v>1340</v>
      </c>
      <c r="B141" s="3" t="s">
        <v>1016</v>
      </c>
      <c r="C141" s="3" t="str">
        <f t="shared" ref="C141:C145" si="57">"坡子街街道"</f>
        <v>坡子街街道</v>
      </c>
      <c r="D141" s="3" t="str">
        <f>"碧湘社区"</f>
        <v>碧湘社区</v>
      </c>
      <c r="E141" s="3" t="str">
        <f t="shared" si="52"/>
        <v>140</v>
      </c>
      <c r="F141" s="3" t="str">
        <f t="shared" ref="F141:F204" si="58">"100"</f>
        <v>100</v>
      </c>
      <c r="G141" s="3" t="str">
        <f t="shared" si="55"/>
        <v>二级</v>
      </c>
    </row>
    <row r="142" customHeight="1" spans="1:7">
      <c r="A142" s="3" t="str">
        <f>"1341"</f>
        <v>1341</v>
      </c>
      <c r="B142" s="3" t="s">
        <v>1017</v>
      </c>
      <c r="C142" s="3" t="str">
        <f t="shared" si="56"/>
        <v>赤岭路街道</v>
      </c>
      <c r="D142" s="3" t="str">
        <f>"猴子石社区"</f>
        <v>猴子石社区</v>
      </c>
      <c r="E142" s="3" t="str">
        <f t="shared" si="52"/>
        <v>140</v>
      </c>
      <c r="F142" s="3" t="str">
        <f t="shared" si="58"/>
        <v>100</v>
      </c>
      <c r="G142" s="3" t="str">
        <f>"一级"</f>
        <v>一级</v>
      </c>
    </row>
    <row r="143" customHeight="1" spans="1:7">
      <c r="A143" s="3" t="str">
        <f>"1342"</f>
        <v>1342</v>
      </c>
      <c r="B143" s="3" t="s">
        <v>1018</v>
      </c>
      <c r="C143" s="3" t="str">
        <f t="shared" si="57"/>
        <v>坡子街街道</v>
      </c>
      <c r="D143" s="3" t="str">
        <f>"青山祠社区"</f>
        <v>青山祠社区</v>
      </c>
      <c r="E143" s="3" t="str">
        <f t="shared" si="52"/>
        <v>140</v>
      </c>
      <c r="F143" s="3" t="str">
        <f t="shared" si="58"/>
        <v>100</v>
      </c>
      <c r="G143" s="3" t="str">
        <f>"一级"</f>
        <v>一级</v>
      </c>
    </row>
    <row r="144" customHeight="1" spans="1:7">
      <c r="A144" s="3" t="str">
        <f>"1343"</f>
        <v>1343</v>
      </c>
      <c r="B144" s="3" t="s">
        <v>139</v>
      </c>
      <c r="C144" s="3" t="str">
        <f t="shared" si="56"/>
        <v>赤岭路街道</v>
      </c>
      <c r="D144" s="3" t="str">
        <f>"南大桥社区"</f>
        <v>南大桥社区</v>
      </c>
      <c r="E144" s="3" t="str">
        <f t="shared" si="52"/>
        <v>140</v>
      </c>
      <c r="F144" s="3" t="str">
        <f t="shared" si="58"/>
        <v>100</v>
      </c>
      <c r="G144" s="3" t="str">
        <f t="shared" ref="G144:G147" si="59">"二级"</f>
        <v>二级</v>
      </c>
    </row>
    <row r="145" customHeight="1" spans="1:7">
      <c r="A145" s="3" t="str">
        <f>"1344"</f>
        <v>1344</v>
      </c>
      <c r="B145" s="3" t="s">
        <v>1019</v>
      </c>
      <c r="C145" s="3" t="str">
        <f t="shared" si="57"/>
        <v>坡子街街道</v>
      </c>
      <c r="D145" s="3" t="str">
        <f>"坡子街社区"</f>
        <v>坡子街社区</v>
      </c>
      <c r="E145" s="3" t="str">
        <f t="shared" si="52"/>
        <v>140</v>
      </c>
      <c r="F145" s="3" t="str">
        <f t="shared" si="58"/>
        <v>100</v>
      </c>
      <c r="G145" s="3" t="str">
        <f t="shared" si="59"/>
        <v>二级</v>
      </c>
    </row>
    <row r="146" customHeight="1" spans="1:7">
      <c r="A146" s="3" t="str">
        <f>"1345"</f>
        <v>1345</v>
      </c>
      <c r="B146" s="3" t="s">
        <v>1020</v>
      </c>
      <c r="C146" s="3" t="str">
        <f>"城南路街道"</f>
        <v>城南路街道</v>
      </c>
      <c r="D146" s="3" t="str">
        <f>"熙台岭社区"</f>
        <v>熙台岭社区</v>
      </c>
      <c r="E146" s="3" t="str">
        <f t="shared" si="52"/>
        <v>140</v>
      </c>
      <c r="F146" s="3" t="str">
        <f t="shared" si="58"/>
        <v>100</v>
      </c>
      <c r="G146" s="3" t="str">
        <f t="shared" si="59"/>
        <v>二级</v>
      </c>
    </row>
    <row r="147" customHeight="1" spans="1:7">
      <c r="A147" s="3" t="str">
        <f>"1346"</f>
        <v>1346</v>
      </c>
      <c r="B147" s="3" t="s">
        <v>558</v>
      </c>
      <c r="C147" s="3" t="str">
        <f>"裕南街街道"</f>
        <v>裕南街街道</v>
      </c>
      <c r="D147" s="3" t="str">
        <f>"向东南社区"</f>
        <v>向东南社区</v>
      </c>
      <c r="E147" s="3" t="str">
        <f t="shared" si="52"/>
        <v>140</v>
      </c>
      <c r="F147" s="3" t="str">
        <f t="shared" si="58"/>
        <v>100</v>
      </c>
      <c r="G147" s="3" t="str">
        <f t="shared" si="59"/>
        <v>二级</v>
      </c>
    </row>
    <row r="148" customHeight="1" spans="1:7">
      <c r="A148" s="3" t="str">
        <f>"1347"</f>
        <v>1347</v>
      </c>
      <c r="B148" s="3" t="s">
        <v>996</v>
      </c>
      <c r="C148" s="3" t="str">
        <f>"坡子街街道"</f>
        <v>坡子街街道</v>
      </c>
      <c r="D148" s="3" t="str">
        <f>"文庙坪社区"</f>
        <v>文庙坪社区</v>
      </c>
      <c r="E148" s="3" t="str">
        <f t="shared" si="52"/>
        <v>140</v>
      </c>
      <c r="F148" s="3" t="str">
        <f t="shared" si="58"/>
        <v>100</v>
      </c>
      <c r="G148" s="3" t="str">
        <f t="shared" ref="G148:G151" si="60">"一级"</f>
        <v>一级</v>
      </c>
    </row>
    <row r="149" customHeight="1" spans="1:7">
      <c r="A149" s="3" t="str">
        <f>"1348"</f>
        <v>1348</v>
      </c>
      <c r="B149" s="3" t="s">
        <v>1021</v>
      </c>
      <c r="C149" s="3" t="str">
        <f>"赤岭路街道"</f>
        <v>赤岭路街道</v>
      </c>
      <c r="D149" s="3" t="str">
        <f>"芙蓉南路社区"</f>
        <v>芙蓉南路社区</v>
      </c>
      <c r="E149" s="3" t="str">
        <f t="shared" si="52"/>
        <v>140</v>
      </c>
      <c r="F149" s="3" t="str">
        <f t="shared" si="58"/>
        <v>100</v>
      </c>
      <c r="G149" s="3" t="str">
        <f t="shared" ref="G149:G153" si="61">"二级"</f>
        <v>二级</v>
      </c>
    </row>
    <row r="150" customHeight="1" spans="1:7">
      <c r="A150" s="3" t="str">
        <f>"1349"</f>
        <v>1349</v>
      </c>
      <c r="B150" s="3" t="s">
        <v>1022</v>
      </c>
      <c r="C150" s="3" t="str">
        <f>"裕南街街道"</f>
        <v>裕南街街道</v>
      </c>
      <c r="D150" s="3" t="str">
        <f>"仰天湖社区"</f>
        <v>仰天湖社区</v>
      </c>
      <c r="E150" s="3" t="str">
        <f t="shared" si="52"/>
        <v>140</v>
      </c>
      <c r="F150" s="3" t="str">
        <f t="shared" si="58"/>
        <v>100</v>
      </c>
      <c r="G150" s="3" t="str">
        <f t="shared" si="60"/>
        <v>一级</v>
      </c>
    </row>
    <row r="151" customHeight="1" spans="1:7">
      <c r="A151" s="3" t="str">
        <f>"1350"</f>
        <v>1350</v>
      </c>
      <c r="B151" s="3" t="s">
        <v>1020</v>
      </c>
      <c r="C151" s="3" t="str">
        <f t="shared" ref="C151:C156" si="62">"城南路街道"</f>
        <v>城南路街道</v>
      </c>
      <c r="D151" s="3" t="str">
        <f>"工农桥社区"</f>
        <v>工农桥社区</v>
      </c>
      <c r="E151" s="3" t="str">
        <f t="shared" si="52"/>
        <v>140</v>
      </c>
      <c r="F151" s="3" t="str">
        <f t="shared" si="58"/>
        <v>100</v>
      </c>
      <c r="G151" s="3" t="str">
        <f t="shared" si="60"/>
        <v>一级</v>
      </c>
    </row>
    <row r="152" customHeight="1" spans="1:7">
      <c r="A152" s="3" t="str">
        <f>"1351"</f>
        <v>1351</v>
      </c>
      <c r="B152" s="3" t="s">
        <v>1023</v>
      </c>
      <c r="C152" s="3" t="str">
        <f>"金盆岭街道"</f>
        <v>金盆岭街道</v>
      </c>
      <c r="D152" s="3" t="str">
        <f>"涂新社区"</f>
        <v>涂新社区</v>
      </c>
      <c r="E152" s="3" t="str">
        <f t="shared" si="52"/>
        <v>140</v>
      </c>
      <c r="F152" s="3" t="str">
        <f t="shared" si="58"/>
        <v>100</v>
      </c>
      <c r="G152" s="3" t="str">
        <f t="shared" si="61"/>
        <v>二级</v>
      </c>
    </row>
    <row r="153" customHeight="1" spans="1:7">
      <c r="A153" s="3" t="str">
        <f>"1352"</f>
        <v>1352</v>
      </c>
      <c r="B153" s="3" t="s">
        <v>70</v>
      </c>
      <c r="C153" s="3" t="str">
        <f t="shared" si="62"/>
        <v>城南路街道</v>
      </c>
      <c r="D153" s="3" t="str">
        <f>"熙台岭社区"</f>
        <v>熙台岭社区</v>
      </c>
      <c r="E153" s="3" t="str">
        <f t="shared" si="52"/>
        <v>140</v>
      </c>
      <c r="F153" s="3" t="str">
        <f t="shared" si="58"/>
        <v>100</v>
      </c>
      <c r="G153" s="3" t="str">
        <f t="shared" si="61"/>
        <v>二级</v>
      </c>
    </row>
    <row r="154" customHeight="1" spans="1:7">
      <c r="A154" s="3" t="str">
        <f>"1353"</f>
        <v>1353</v>
      </c>
      <c r="B154" s="3" t="s">
        <v>80</v>
      </c>
      <c r="C154" s="3" t="str">
        <f t="shared" ref="C154:C158" si="63">"赤岭路街道"</f>
        <v>赤岭路街道</v>
      </c>
      <c r="D154" s="3" t="str">
        <f>"广厦新村社区"</f>
        <v>广厦新村社区</v>
      </c>
      <c r="E154" s="3" t="str">
        <f t="shared" si="52"/>
        <v>140</v>
      </c>
      <c r="F154" s="3" t="str">
        <f t="shared" si="58"/>
        <v>100</v>
      </c>
      <c r="G154" s="3" t="str">
        <f>"一级"</f>
        <v>一级</v>
      </c>
    </row>
    <row r="155" customHeight="1" spans="1:7">
      <c r="A155" s="3" t="str">
        <f>"1354"</f>
        <v>1354</v>
      </c>
      <c r="B155" s="3" t="s">
        <v>70</v>
      </c>
      <c r="C155" s="3" t="str">
        <f>"新开铺街道"</f>
        <v>新开铺街道</v>
      </c>
      <c r="D155" s="3" t="str">
        <f>"新开铺社区"</f>
        <v>新开铺社区</v>
      </c>
      <c r="E155" s="3" t="str">
        <f t="shared" si="52"/>
        <v>140</v>
      </c>
      <c r="F155" s="3" t="str">
        <f t="shared" si="58"/>
        <v>100</v>
      </c>
      <c r="G155" s="3" t="str">
        <f t="shared" ref="G155:G161" si="64">"二级"</f>
        <v>二级</v>
      </c>
    </row>
    <row r="156" customHeight="1" spans="1:7">
      <c r="A156" s="3" t="str">
        <f>"1355"</f>
        <v>1355</v>
      </c>
      <c r="B156" s="3" t="s">
        <v>462</v>
      </c>
      <c r="C156" s="3" t="str">
        <f t="shared" si="62"/>
        <v>城南路街道</v>
      </c>
      <c r="D156" s="3" t="str">
        <f>"吴家坪社区"</f>
        <v>吴家坪社区</v>
      </c>
      <c r="E156" s="3" t="str">
        <f t="shared" si="52"/>
        <v>140</v>
      </c>
      <c r="F156" s="3" t="str">
        <f t="shared" si="58"/>
        <v>100</v>
      </c>
      <c r="G156" s="3" t="str">
        <f t="shared" si="64"/>
        <v>二级</v>
      </c>
    </row>
    <row r="157" customHeight="1" spans="1:7">
      <c r="A157" s="3" t="str">
        <f>"1356"</f>
        <v>1356</v>
      </c>
      <c r="B157" s="3" t="s">
        <v>146</v>
      </c>
      <c r="C157" s="3" t="str">
        <f t="shared" si="63"/>
        <v>赤岭路街道</v>
      </c>
      <c r="D157" s="3" t="str">
        <f>"白沙花园社区"</f>
        <v>白沙花园社区</v>
      </c>
      <c r="E157" s="3" t="str">
        <f t="shared" si="52"/>
        <v>140</v>
      </c>
      <c r="F157" s="3" t="str">
        <f t="shared" si="58"/>
        <v>100</v>
      </c>
      <c r="G157" s="3" t="str">
        <f t="shared" si="64"/>
        <v>二级</v>
      </c>
    </row>
    <row r="158" customHeight="1" spans="1:7">
      <c r="A158" s="3" t="str">
        <f>"1357"</f>
        <v>1357</v>
      </c>
      <c r="B158" s="3" t="s">
        <v>132</v>
      </c>
      <c r="C158" s="3" t="str">
        <f t="shared" si="63"/>
        <v>赤岭路街道</v>
      </c>
      <c r="D158" s="3" t="str">
        <f>"猴子石社区"</f>
        <v>猴子石社区</v>
      </c>
      <c r="E158" s="3" t="str">
        <f t="shared" si="52"/>
        <v>140</v>
      </c>
      <c r="F158" s="3" t="str">
        <f t="shared" si="58"/>
        <v>100</v>
      </c>
      <c r="G158" s="3" t="str">
        <f t="shared" si="64"/>
        <v>二级</v>
      </c>
    </row>
    <row r="159" customHeight="1" spans="1:7">
      <c r="A159" s="3" t="str">
        <f>"1358"</f>
        <v>1358</v>
      </c>
      <c r="B159" s="3" t="s">
        <v>1024</v>
      </c>
      <c r="C159" s="3" t="str">
        <f>"新开铺街道"</f>
        <v>新开铺街道</v>
      </c>
      <c r="D159" s="3" t="str">
        <f>"木莲社区"</f>
        <v>木莲社区</v>
      </c>
      <c r="E159" s="3" t="str">
        <f t="shared" si="52"/>
        <v>140</v>
      </c>
      <c r="F159" s="3" t="str">
        <f t="shared" si="58"/>
        <v>100</v>
      </c>
      <c r="G159" s="3" t="str">
        <f t="shared" si="64"/>
        <v>二级</v>
      </c>
    </row>
    <row r="160" customHeight="1" spans="1:7">
      <c r="A160" s="3" t="str">
        <f>"1359"</f>
        <v>1359</v>
      </c>
      <c r="B160" s="3" t="s">
        <v>1025</v>
      </c>
      <c r="C160" s="3" t="str">
        <f>"青园街道"</f>
        <v>青园街道</v>
      </c>
      <c r="D160" s="3" t="str">
        <f>"井湾子社区"</f>
        <v>井湾子社区</v>
      </c>
      <c r="E160" s="3" t="str">
        <f t="shared" si="52"/>
        <v>140</v>
      </c>
      <c r="F160" s="3" t="str">
        <f t="shared" si="58"/>
        <v>100</v>
      </c>
      <c r="G160" s="3" t="str">
        <f t="shared" si="64"/>
        <v>二级</v>
      </c>
    </row>
    <row r="161" customHeight="1" spans="1:7">
      <c r="A161" s="3" t="str">
        <f>"1360"</f>
        <v>1360</v>
      </c>
      <c r="B161" s="3" t="s">
        <v>1026</v>
      </c>
      <c r="C161" s="3" t="str">
        <f>"裕南街街道"</f>
        <v>裕南街街道</v>
      </c>
      <c r="D161" s="3" t="str">
        <f>"宝塔山社区"</f>
        <v>宝塔山社区</v>
      </c>
      <c r="E161" s="3" t="str">
        <f t="shared" si="52"/>
        <v>140</v>
      </c>
      <c r="F161" s="3" t="str">
        <f t="shared" si="58"/>
        <v>100</v>
      </c>
      <c r="G161" s="3" t="str">
        <f t="shared" si="64"/>
        <v>二级</v>
      </c>
    </row>
    <row r="162" customHeight="1" spans="1:7">
      <c r="A162" s="3" t="str">
        <f>"1361"</f>
        <v>1361</v>
      </c>
      <c r="B162" s="3" t="s">
        <v>35</v>
      </c>
      <c r="C162" s="3" t="str">
        <f>"坡子街街道"</f>
        <v>坡子街街道</v>
      </c>
      <c r="D162" s="3" t="str">
        <f>"碧湘社区"</f>
        <v>碧湘社区</v>
      </c>
      <c r="E162" s="3" t="str">
        <f t="shared" si="52"/>
        <v>140</v>
      </c>
      <c r="F162" s="3" t="str">
        <f t="shared" si="58"/>
        <v>100</v>
      </c>
      <c r="G162" s="3" t="str">
        <f>"一级"</f>
        <v>一级</v>
      </c>
    </row>
    <row r="163" customHeight="1" spans="1:7">
      <c r="A163" s="3" t="str">
        <f>"1362"</f>
        <v>1362</v>
      </c>
      <c r="B163" s="3" t="s">
        <v>1027</v>
      </c>
      <c r="C163" s="3" t="str">
        <f>"赤岭路街道"</f>
        <v>赤岭路街道</v>
      </c>
      <c r="D163" s="3" t="str">
        <f>"新丰社区"</f>
        <v>新丰社区</v>
      </c>
      <c r="E163" s="3" t="str">
        <f t="shared" si="52"/>
        <v>140</v>
      </c>
      <c r="F163" s="3" t="str">
        <f t="shared" si="58"/>
        <v>100</v>
      </c>
      <c r="G163" s="3" t="str">
        <f t="shared" ref="G163:G166" si="65">"二级"</f>
        <v>二级</v>
      </c>
    </row>
    <row r="164" customHeight="1" spans="1:7">
      <c r="A164" s="3" t="str">
        <f>"1363"</f>
        <v>1363</v>
      </c>
      <c r="B164" s="3" t="s">
        <v>660</v>
      </c>
      <c r="C164" s="3" t="str">
        <f>"南托街道"</f>
        <v>南托街道</v>
      </c>
      <c r="D164" s="3" t="str">
        <f>"滨洲新村"</f>
        <v>滨洲新村</v>
      </c>
      <c r="E164" s="3" t="str">
        <f t="shared" si="52"/>
        <v>140</v>
      </c>
      <c r="F164" s="3" t="str">
        <f t="shared" si="58"/>
        <v>100</v>
      </c>
      <c r="G164" s="3" t="str">
        <f t="shared" si="65"/>
        <v>二级</v>
      </c>
    </row>
    <row r="165" customHeight="1" spans="1:7">
      <c r="A165" s="3" t="str">
        <f>"1364"</f>
        <v>1364</v>
      </c>
      <c r="B165" s="3" t="s">
        <v>1028</v>
      </c>
      <c r="C165" s="3" t="str">
        <f>"新开铺街道"</f>
        <v>新开铺街道</v>
      </c>
      <c r="D165" s="3" t="str">
        <f>"新开铺社区"</f>
        <v>新开铺社区</v>
      </c>
      <c r="E165" s="3" t="str">
        <f t="shared" si="52"/>
        <v>140</v>
      </c>
      <c r="F165" s="3" t="str">
        <f t="shared" si="58"/>
        <v>100</v>
      </c>
      <c r="G165" s="3" t="str">
        <f t="shared" si="65"/>
        <v>二级</v>
      </c>
    </row>
    <row r="166" customHeight="1" spans="1:7">
      <c r="A166" s="3" t="str">
        <f>"1365"</f>
        <v>1365</v>
      </c>
      <c r="B166" s="3" t="s">
        <v>1029</v>
      </c>
      <c r="C166" s="3" t="str">
        <f>"裕南街街道"</f>
        <v>裕南街街道</v>
      </c>
      <c r="D166" s="3" t="str">
        <f>"仰天湖社区"</f>
        <v>仰天湖社区</v>
      </c>
      <c r="E166" s="3" t="str">
        <f t="shared" si="52"/>
        <v>140</v>
      </c>
      <c r="F166" s="3" t="str">
        <f t="shared" si="58"/>
        <v>100</v>
      </c>
      <c r="G166" s="3" t="str">
        <f t="shared" si="65"/>
        <v>二级</v>
      </c>
    </row>
    <row r="167" customHeight="1" spans="1:7">
      <c r="A167" s="3" t="str">
        <f>"1366"</f>
        <v>1366</v>
      </c>
      <c r="B167" s="3" t="s">
        <v>1030</v>
      </c>
      <c r="C167" s="3" t="str">
        <f>"裕南街街道"</f>
        <v>裕南街街道</v>
      </c>
      <c r="D167" s="3" t="str">
        <f>"杏花园社区"</f>
        <v>杏花园社区</v>
      </c>
      <c r="E167" s="3" t="str">
        <f t="shared" si="52"/>
        <v>140</v>
      </c>
      <c r="F167" s="3" t="str">
        <f t="shared" si="58"/>
        <v>100</v>
      </c>
      <c r="G167" s="3" t="str">
        <f>"一级"</f>
        <v>一级</v>
      </c>
    </row>
    <row r="168" customHeight="1" spans="1:7">
      <c r="A168" s="3" t="str">
        <f>"1367"</f>
        <v>1367</v>
      </c>
      <c r="B168" s="3" t="s">
        <v>1031</v>
      </c>
      <c r="C168" s="3" t="str">
        <f>"青园街道"</f>
        <v>青园街道</v>
      </c>
      <c r="D168" s="3" t="str">
        <f>"青园社区"</f>
        <v>青园社区</v>
      </c>
      <c r="E168" s="3" t="str">
        <f t="shared" si="52"/>
        <v>140</v>
      </c>
      <c r="F168" s="3" t="str">
        <f t="shared" si="58"/>
        <v>100</v>
      </c>
      <c r="G168" s="3" t="str">
        <f t="shared" ref="G168:G174" si="66">"二级"</f>
        <v>二级</v>
      </c>
    </row>
    <row r="169" customHeight="1" spans="1:7">
      <c r="A169" s="3" t="str">
        <f>"1368"</f>
        <v>1368</v>
      </c>
      <c r="B169" s="3" t="s">
        <v>1032</v>
      </c>
      <c r="C169" s="3" t="str">
        <f>"先锋街道"</f>
        <v>先锋街道</v>
      </c>
      <c r="D169" s="3" t="str">
        <f>"新宇社区"</f>
        <v>新宇社区</v>
      </c>
      <c r="E169" s="3" t="str">
        <f t="shared" si="52"/>
        <v>140</v>
      </c>
      <c r="F169" s="3" t="str">
        <f t="shared" si="58"/>
        <v>100</v>
      </c>
      <c r="G169" s="3" t="str">
        <f>"一级"</f>
        <v>一级</v>
      </c>
    </row>
    <row r="170" customHeight="1" spans="1:7">
      <c r="A170" s="3" t="str">
        <f>"1369"</f>
        <v>1369</v>
      </c>
      <c r="B170" s="3" t="s">
        <v>445</v>
      </c>
      <c r="C170" s="3" t="str">
        <f>"赤岭路街道"</f>
        <v>赤岭路街道</v>
      </c>
      <c r="D170" s="3" t="str">
        <f>"广厦新村社区"</f>
        <v>广厦新村社区</v>
      </c>
      <c r="E170" s="3" t="str">
        <f t="shared" si="52"/>
        <v>140</v>
      </c>
      <c r="F170" s="3" t="str">
        <f t="shared" si="58"/>
        <v>100</v>
      </c>
      <c r="G170" s="3" t="str">
        <f t="shared" si="66"/>
        <v>二级</v>
      </c>
    </row>
    <row r="171" customHeight="1" spans="1:7">
      <c r="A171" s="3" t="str">
        <f>"1370"</f>
        <v>1370</v>
      </c>
      <c r="B171" s="3" t="s">
        <v>1033</v>
      </c>
      <c r="C171" s="3" t="str">
        <f>"大托铺街道"</f>
        <v>大托铺街道</v>
      </c>
      <c r="D171" s="3" t="str">
        <f>"桂井村委会"</f>
        <v>桂井村委会</v>
      </c>
      <c r="E171" s="3" t="str">
        <f t="shared" si="52"/>
        <v>140</v>
      </c>
      <c r="F171" s="3" t="str">
        <f t="shared" si="58"/>
        <v>100</v>
      </c>
      <c r="G171" s="3" t="str">
        <f t="shared" si="66"/>
        <v>二级</v>
      </c>
    </row>
    <row r="172" customHeight="1" spans="1:7">
      <c r="A172" s="3" t="str">
        <f>"1371"</f>
        <v>1371</v>
      </c>
      <c r="B172" s="3" t="s">
        <v>693</v>
      </c>
      <c r="C172" s="3" t="str">
        <f>"大托铺街道"</f>
        <v>大托铺街道</v>
      </c>
      <c r="D172" s="3" t="str">
        <f>"桂井村委会"</f>
        <v>桂井村委会</v>
      </c>
      <c r="E172" s="3" t="str">
        <f t="shared" si="52"/>
        <v>140</v>
      </c>
      <c r="F172" s="3" t="str">
        <f t="shared" si="58"/>
        <v>100</v>
      </c>
      <c r="G172" s="3" t="str">
        <f t="shared" si="66"/>
        <v>二级</v>
      </c>
    </row>
    <row r="173" customHeight="1" spans="1:7">
      <c r="A173" s="3" t="str">
        <f>"1372"</f>
        <v>1372</v>
      </c>
      <c r="B173" s="3" t="s">
        <v>651</v>
      </c>
      <c r="C173" s="3" t="str">
        <f t="shared" ref="C173:C182" si="67">"南托街道"</f>
        <v>南托街道</v>
      </c>
      <c r="D173" s="3" t="str">
        <f>"牛角塘村"</f>
        <v>牛角塘村</v>
      </c>
      <c r="E173" s="3" t="str">
        <f t="shared" si="52"/>
        <v>140</v>
      </c>
      <c r="F173" s="3" t="str">
        <f t="shared" si="58"/>
        <v>100</v>
      </c>
      <c r="G173" s="3" t="str">
        <f t="shared" si="66"/>
        <v>二级</v>
      </c>
    </row>
    <row r="174" customHeight="1" spans="1:7">
      <c r="A174" s="3" t="str">
        <f>"1373"</f>
        <v>1373</v>
      </c>
      <c r="B174" s="3" t="s">
        <v>1034</v>
      </c>
      <c r="C174" s="3" t="str">
        <f t="shared" si="67"/>
        <v>南托街道</v>
      </c>
      <c r="D174" s="3" t="str">
        <f>"北塘社区"</f>
        <v>北塘社区</v>
      </c>
      <c r="E174" s="3" t="str">
        <f t="shared" si="52"/>
        <v>140</v>
      </c>
      <c r="F174" s="3" t="str">
        <f t="shared" si="58"/>
        <v>100</v>
      </c>
      <c r="G174" s="3" t="str">
        <f t="shared" si="66"/>
        <v>二级</v>
      </c>
    </row>
    <row r="175" customHeight="1" spans="1:7">
      <c r="A175" s="3" t="str">
        <f>"1374"</f>
        <v>1374</v>
      </c>
      <c r="B175" s="3" t="s">
        <v>651</v>
      </c>
      <c r="C175" s="3" t="str">
        <f>"暮云街道"</f>
        <v>暮云街道</v>
      </c>
      <c r="D175" s="3" t="str">
        <f>"许兴村"</f>
        <v>许兴村</v>
      </c>
      <c r="E175" s="3" t="str">
        <f t="shared" si="52"/>
        <v>140</v>
      </c>
      <c r="F175" s="3" t="str">
        <f t="shared" si="58"/>
        <v>100</v>
      </c>
      <c r="G175" s="3" t="str">
        <f>"一级"</f>
        <v>一级</v>
      </c>
    </row>
    <row r="176" customHeight="1" spans="1:7">
      <c r="A176" s="3" t="str">
        <f>"1375"</f>
        <v>1375</v>
      </c>
      <c r="B176" s="3" t="s">
        <v>768</v>
      </c>
      <c r="C176" s="3" t="str">
        <f t="shared" si="67"/>
        <v>南托街道</v>
      </c>
      <c r="D176" s="3" t="str">
        <f>"滨洲新村"</f>
        <v>滨洲新村</v>
      </c>
      <c r="E176" s="3" t="str">
        <f t="shared" si="52"/>
        <v>140</v>
      </c>
      <c r="F176" s="3" t="str">
        <f t="shared" si="58"/>
        <v>100</v>
      </c>
      <c r="G176" s="3" t="str">
        <f t="shared" ref="G176:G181" si="68">"二级"</f>
        <v>二级</v>
      </c>
    </row>
    <row r="177" customHeight="1" spans="1:7">
      <c r="A177" s="3" t="str">
        <f>"1376"</f>
        <v>1376</v>
      </c>
      <c r="B177" s="3" t="s">
        <v>1035</v>
      </c>
      <c r="C177" s="3" t="str">
        <f t="shared" si="67"/>
        <v>南托街道</v>
      </c>
      <c r="D177" s="3" t="str">
        <f>"牛角塘村"</f>
        <v>牛角塘村</v>
      </c>
      <c r="E177" s="3" t="str">
        <f t="shared" si="52"/>
        <v>140</v>
      </c>
      <c r="F177" s="3" t="str">
        <f t="shared" si="58"/>
        <v>100</v>
      </c>
      <c r="G177" s="3" t="str">
        <f>"一级"</f>
        <v>一级</v>
      </c>
    </row>
    <row r="178" customHeight="1" spans="1:7">
      <c r="A178" s="3" t="str">
        <f>"1377"</f>
        <v>1377</v>
      </c>
      <c r="B178" s="3" t="s">
        <v>1036</v>
      </c>
      <c r="C178" s="3" t="str">
        <f t="shared" si="67"/>
        <v>南托街道</v>
      </c>
      <c r="D178" s="3" t="str">
        <f>"南鑫社区"</f>
        <v>南鑫社区</v>
      </c>
      <c r="E178" s="3" t="str">
        <f t="shared" si="52"/>
        <v>140</v>
      </c>
      <c r="F178" s="3" t="str">
        <f t="shared" si="58"/>
        <v>100</v>
      </c>
      <c r="G178" s="3" t="str">
        <f t="shared" si="68"/>
        <v>二级</v>
      </c>
    </row>
    <row r="179" customHeight="1" spans="1:7">
      <c r="A179" s="3" t="str">
        <f>"1378"</f>
        <v>1378</v>
      </c>
      <c r="B179" s="3" t="s">
        <v>1037</v>
      </c>
      <c r="C179" s="3" t="str">
        <f t="shared" si="67"/>
        <v>南托街道</v>
      </c>
      <c r="D179" s="3" t="str">
        <f t="shared" ref="D179:D182" si="69">"沿江村"</f>
        <v>沿江村</v>
      </c>
      <c r="E179" s="3" t="str">
        <f t="shared" si="52"/>
        <v>140</v>
      </c>
      <c r="F179" s="3" t="str">
        <f t="shared" si="58"/>
        <v>100</v>
      </c>
      <c r="G179" s="3" t="str">
        <f t="shared" si="68"/>
        <v>二级</v>
      </c>
    </row>
    <row r="180" customHeight="1" spans="1:7">
      <c r="A180" s="3" t="str">
        <f>"1379"</f>
        <v>1379</v>
      </c>
      <c r="B180" s="3" t="s">
        <v>1038</v>
      </c>
      <c r="C180" s="3" t="str">
        <f t="shared" si="67"/>
        <v>南托街道</v>
      </c>
      <c r="D180" s="3" t="str">
        <f t="shared" si="69"/>
        <v>沿江村</v>
      </c>
      <c r="E180" s="3" t="str">
        <f t="shared" si="52"/>
        <v>140</v>
      </c>
      <c r="F180" s="3" t="str">
        <f t="shared" si="58"/>
        <v>100</v>
      </c>
      <c r="G180" s="3" t="str">
        <f t="shared" si="68"/>
        <v>二级</v>
      </c>
    </row>
    <row r="181" customHeight="1" spans="1:7">
      <c r="A181" s="3" t="str">
        <f>"1380"</f>
        <v>1380</v>
      </c>
      <c r="B181" s="3" t="s">
        <v>1039</v>
      </c>
      <c r="C181" s="3" t="str">
        <f t="shared" si="67"/>
        <v>南托街道</v>
      </c>
      <c r="D181" s="3" t="str">
        <f t="shared" si="69"/>
        <v>沿江村</v>
      </c>
      <c r="E181" s="3" t="str">
        <f t="shared" si="52"/>
        <v>140</v>
      </c>
      <c r="F181" s="3" t="str">
        <f t="shared" si="58"/>
        <v>100</v>
      </c>
      <c r="G181" s="3" t="str">
        <f t="shared" si="68"/>
        <v>二级</v>
      </c>
    </row>
    <row r="182" customHeight="1" spans="1:7">
      <c r="A182" s="3" t="str">
        <f>"1381"</f>
        <v>1381</v>
      </c>
      <c r="B182" s="3" t="s">
        <v>684</v>
      </c>
      <c r="C182" s="3" t="str">
        <f t="shared" si="67"/>
        <v>南托街道</v>
      </c>
      <c r="D182" s="3" t="str">
        <f t="shared" si="69"/>
        <v>沿江村</v>
      </c>
      <c r="E182" s="3" t="str">
        <f t="shared" si="52"/>
        <v>140</v>
      </c>
      <c r="F182" s="3" t="str">
        <f t="shared" si="58"/>
        <v>100</v>
      </c>
      <c r="G182" s="3" t="str">
        <f>"一级"</f>
        <v>一级</v>
      </c>
    </row>
    <row r="183" customHeight="1" spans="1:7">
      <c r="A183" s="3" t="str">
        <f>"1382"</f>
        <v>1382</v>
      </c>
      <c r="B183" s="3" t="s">
        <v>27</v>
      </c>
      <c r="C183" s="3" t="str">
        <f>"裕南街街道"</f>
        <v>裕南街街道</v>
      </c>
      <c r="D183" s="3" t="str">
        <f>"火把山社区"</f>
        <v>火把山社区</v>
      </c>
      <c r="E183" s="3" t="str">
        <f t="shared" si="52"/>
        <v>140</v>
      </c>
      <c r="F183" s="3" t="str">
        <f t="shared" si="58"/>
        <v>100</v>
      </c>
      <c r="G183" s="3" t="str">
        <f t="shared" ref="G183:G187" si="70">"二级"</f>
        <v>二级</v>
      </c>
    </row>
    <row r="184" customHeight="1" spans="1:7">
      <c r="A184" s="3" t="str">
        <f>"1383"</f>
        <v>1383</v>
      </c>
      <c r="B184" s="3" t="s">
        <v>1040</v>
      </c>
      <c r="C184" s="3" t="str">
        <f>"赤岭路街道"</f>
        <v>赤岭路街道</v>
      </c>
      <c r="D184" s="3" t="str">
        <f>"南大桥社区"</f>
        <v>南大桥社区</v>
      </c>
      <c r="E184" s="3" t="str">
        <f t="shared" si="52"/>
        <v>140</v>
      </c>
      <c r="F184" s="3" t="str">
        <f t="shared" si="58"/>
        <v>100</v>
      </c>
      <c r="G184" s="3" t="str">
        <f t="shared" si="70"/>
        <v>二级</v>
      </c>
    </row>
    <row r="185" customHeight="1" spans="1:7">
      <c r="A185" s="3" t="str">
        <f>"1384"</f>
        <v>1384</v>
      </c>
      <c r="B185" s="3" t="s">
        <v>64</v>
      </c>
      <c r="C185" s="3" t="str">
        <f>"暮云街道"</f>
        <v>暮云街道</v>
      </c>
      <c r="D185" s="3" t="str">
        <f>"高云社区"</f>
        <v>高云社区</v>
      </c>
      <c r="E185" s="3" t="str">
        <f t="shared" si="52"/>
        <v>140</v>
      </c>
      <c r="F185" s="3" t="str">
        <f t="shared" si="58"/>
        <v>100</v>
      </c>
      <c r="G185" s="3" t="str">
        <f t="shared" ref="G185:G189" si="71">"一级"</f>
        <v>一级</v>
      </c>
    </row>
    <row r="186" customHeight="1" spans="1:7">
      <c r="A186" s="3" t="str">
        <f>"1385"</f>
        <v>1385</v>
      </c>
      <c r="B186" s="3" t="s">
        <v>1041</v>
      </c>
      <c r="C186" s="3" t="str">
        <f>"城南路街道"</f>
        <v>城南路街道</v>
      </c>
      <c r="D186" s="3" t="str">
        <f>"白沙井社区"</f>
        <v>白沙井社区</v>
      </c>
      <c r="E186" s="3" t="str">
        <f t="shared" si="52"/>
        <v>140</v>
      </c>
      <c r="F186" s="3" t="str">
        <f t="shared" si="58"/>
        <v>100</v>
      </c>
      <c r="G186" s="3" t="str">
        <f t="shared" si="70"/>
        <v>二级</v>
      </c>
    </row>
    <row r="187" customHeight="1" spans="1:7">
      <c r="A187" s="3" t="str">
        <f>"1386"</f>
        <v>1386</v>
      </c>
      <c r="B187" s="3" t="s">
        <v>420</v>
      </c>
      <c r="C187" s="3" t="str">
        <f>"坡子街街道"</f>
        <v>坡子街街道</v>
      </c>
      <c r="D187" s="3" t="str">
        <f>"碧湘社区"</f>
        <v>碧湘社区</v>
      </c>
      <c r="E187" s="3" t="str">
        <f t="shared" si="52"/>
        <v>140</v>
      </c>
      <c r="F187" s="3" t="str">
        <f t="shared" si="58"/>
        <v>100</v>
      </c>
      <c r="G187" s="3" t="str">
        <f t="shared" si="70"/>
        <v>二级</v>
      </c>
    </row>
    <row r="188" customHeight="1" spans="1:7">
      <c r="A188" s="3" t="str">
        <f>"1387"</f>
        <v>1387</v>
      </c>
      <c r="B188" s="3" t="s">
        <v>160</v>
      </c>
      <c r="C188" s="3" t="str">
        <f t="shared" ref="C188:C193" si="72">"南托街道"</f>
        <v>南托街道</v>
      </c>
      <c r="D188" s="3" t="str">
        <f>"牛角塘村"</f>
        <v>牛角塘村</v>
      </c>
      <c r="E188" s="3" t="str">
        <f t="shared" si="52"/>
        <v>140</v>
      </c>
      <c r="F188" s="3" t="str">
        <f t="shared" si="58"/>
        <v>100</v>
      </c>
      <c r="G188" s="3" t="str">
        <f t="shared" si="71"/>
        <v>一级</v>
      </c>
    </row>
    <row r="189" customHeight="1" spans="1:7">
      <c r="A189" s="3" t="str">
        <f>"1388"</f>
        <v>1388</v>
      </c>
      <c r="B189" s="3" t="s">
        <v>1042</v>
      </c>
      <c r="C189" s="3" t="str">
        <f t="shared" si="72"/>
        <v>南托街道</v>
      </c>
      <c r="D189" s="3" t="str">
        <f>"融城社区"</f>
        <v>融城社区</v>
      </c>
      <c r="E189" s="3" t="str">
        <f t="shared" si="52"/>
        <v>140</v>
      </c>
      <c r="F189" s="3" t="str">
        <f t="shared" si="58"/>
        <v>100</v>
      </c>
      <c r="G189" s="3" t="str">
        <f t="shared" si="71"/>
        <v>一级</v>
      </c>
    </row>
    <row r="190" customHeight="1" spans="1:7">
      <c r="A190" s="3" t="str">
        <f>"1389"</f>
        <v>1389</v>
      </c>
      <c r="B190" s="3" t="s">
        <v>1043</v>
      </c>
      <c r="C190" s="3" t="str">
        <f>"坡子街街道"</f>
        <v>坡子街街道</v>
      </c>
      <c r="D190" s="3" t="str">
        <f>"登仁桥社区"</f>
        <v>登仁桥社区</v>
      </c>
      <c r="E190" s="3" t="str">
        <f t="shared" si="52"/>
        <v>140</v>
      </c>
      <c r="F190" s="3" t="str">
        <f t="shared" si="58"/>
        <v>100</v>
      </c>
      <c r="G190" s="3" t="str">
        <f>"二级"</f>
        <v>二级</v>
      </c>
    </row>
    <row r="191" customHeight="1" spans="1:7">
      <c r="A191" s="3" t="str">
        <f>"1390"</f>
        <v>1390</v>
      </c>
      <c r="B191" s="3" t="s">
        <v>1044</v>
      </c>
      <c r="C191" s="3" t="str">
        <f>"裕南街街道"</f>
        <v>裕南街街道</v>
      </c>
      <c r="D191" s="3" t="str">
        <f>"向东南社区"</f>
        <v>向东南社区</v>
      </c>
      <c r="E191" s="3" t="str">
        <f t="shared" si="52"/>
        <v>140</v>
      </c>
      <c r="F191" s="3" t="str">
        <f t="shared" si="58"/>
        <v>100</v>
      </c>
      <c r="G191" s="3" t="str">
        <f t="shared" ref="G191:G193" si="73">"一级"</f>
        <v>一级</v>
      </c>
    </row>
    <row r="192" customHeight="1" spans="1:7">
      <c r="A192" s="3" t="str">
        <f>"1391"</f>
        <v>1391</v>
      </c>
      <c r="B192" s="3" t="s">
        <v>1045</v>
      </c>
      <c r="C192" s="3" t="str">
        <f>"城南路街道"</f>
        <v>城南路街道</v>
      </c>
      <c r="D192" s="3" t="str">
        <f>"燕子岭社区"</f>
        <v>燕子岭社区</v>
      </c>
      <c r="E192" s="3" t="str">
        <f t="shared" si="52"/>
        <v>140</v>
      </c>
      <c r="F192" s="3" t="str">
        <f t="shared" si="58"/>
        <v>100</v>
      </c>
      <c r="G192" s="3" t="str">
        <f t="shared" si="73"/>
        <v>一级</v>
      </c>
    </row>
    <row r="193" customHeight="1" spans="1:7">
      <c r="A193" s="3" t="str">
        <f>"1392"</f>
        <v>1392</v>
      </c>
      <c r="B193" s="3" t="s">
        <v>1046</v>
      </c>
      <c r="C193" s="3" t="str">
        <f t="shared" si="72"/>
        <v>南托街道</v>
      </c>
      <c r="D193" s="3" t="str">
        <f>"融城社区"</f>
        <v>融城社区</v>
      </c>
      <c r="E193" s="3" t="str">
        <f t="shared" si="52"/>
        <v>140</v>
      </c>
      <c r="F193" s="3" t="str">
        <f t="shared" si="58"/>
        <v>100</v>
      </c>
      <c r="G193" s="3" t="str">
        <f t="shared" si="73"/>
        <v>一级</v>
      </c>
    </row>
    <row r="194" customHeight="1" spans="1:7">
      <c r="A194" s="3" t="str">
        <f>"1393"</f>
        <v>1393</v>
      </c>
      <c r="B194" s="3" t="s">
        <v>140</v>
      </c>
      <c r="C194" s="3" t="str">
        <f>"金盆岭街道"</f>
        <v>金盆岭街道</v>
      </c>
      <c r="D194" s="3" t="str">
        <f>"夏家冲社区"</f>
        <v>夏家冲社区</v>
      </c>
      <c r="E194" s="3" t="str">
        <f t="shared" ref="E194:E257" si="74">"140"</f>
        <v>140</v>
      </c>
      <c r="F194" s="3" t="str">
        <f t="shared" si="58"/>
        <v>100</v>
      </c>
      <c r="G194" s="3" t="str">
        <f t="shared" ref="G194:G199" si="75">"二级"</f>
        <v>二级</v>
      </c>
    </row>
    <row r="195" customHeight="1" spans="1:7">
      <c r="A195" s="3" t="str">
        <f>"1394"</f>
        <v>1394</v>
      </c>
      <c r="B195" s="3" t="s">
        <v>1047</v>
      </c>
      <c r="C195" s="3" t="str">
        <f>"裕南街街道"</f>
        <v>裕南街街道</v>
      </c>
      <c r="D195" s="3" t="str">
        <f>"石子冲社区"</f>
        <v>石子冲社区</v>
      </c>
      <c r="E195" s="3" t="str">
        <f t="shared" si="74"/>
        <v>140</v>
      </c>
      <c r="F195" s="3" t="str">
        <f t="shared" si="58"/>
        <v>100</v>
      </c>
      <c r="G195" s="3" t="str">
        <f t="shared" ref="G195:G200" si="76">"一级"</f>
        <v>一级</v>
      </c>
    </row>
    <row r="196" customHeight="1" spans="1:7">
      <c r="A196" s="3" t="str">
        <f>"1395"</f>
        <v>1395</v>
      </c>
      <c r="B196" s="3" t="s">
        <v>1048</v>
      </c>
      <c r="C196" s="3" t="str">
        <f>"新开铺街道"</f>
        <v>新开铺街道</v>
      </c>
      <c r="D196" s="3" t="str">
        <f>"新天村委会"</f>
        <v>新天村委会</v>
      </c>
      <c r="E196" s="3" t="str">
        <f t="shared" si="74"/>
        <v>140</v>
      </c>
      <c r="F196" s="3" t="str">
        <f t="shared" si="58"/>
        <v>100</v>
      </c>
      <c r="G196" s="3" t="str">
        <f t="shared" si="75"/>
        <v>二级</v>
      </c>
    </row>
    <row r="197" customHeight="1" spans="1:7">
      <c r="A197" s="3" t="str">
        <f>"1396"</f>
        <v>1396</v>
      </c>
      <c r="B197" s="3" t="s">
        <v>1049</v>
      </c>
      <c r="C197" s="3" t="str">
        <f>"裕南街街道"</f>
        <v>裕南街街道</v>
      </c>
      <c r="D197" s="3" t="str">
        <f>"向东南社区"</f>
        <v>向东南社区</v>
      </c>
      <c r="E197" s="3" t="str">
        <f t="shared" si="74"/>
        <v>140</v>
      </c>
      <c r="F197" s="3" t="str">
        <f t="shared" si="58"/>
        <v>100</v>
      </c>
      <c r="G197" s="3" t="str">
        <f t="shared" si="76"/>
        <v>一级</v>
      </c>
    </row>
    <row r="198" customHeight="1" spans="1:7">
      <c r="A198" s="3" t="str">
        <f>"1397"</f>
        <v>1397</v>
      </c>
      <c r="B198" s="3" t="s">
        <v>1050</v>
      </c>
      <c r="C198" s="3" t="str">
        <f>"南托街道"</f>
        <v>南托街道</v>
      </c>
      <c r="D198" s="3" t="str">
        <f>"融城社区"</f>
        <v>融城社区</v>
      </c>
      <c r="E198" s="3" t="str">
        <f t="shared" si="74"/>
        <v>140</v>
      </c>
      <c r="F198" s="3" t="str">
        <f t="shared" si="58"/>
        <v>100</v>
      </c>
      <c r="G198" s="3" t="str">
        <f t="shared" si="75"/>
        <v>二级</v>
      </c>
    </row>
    <row r="199" customHeight="1" spans="1:7">
      <c r="A199" s="3" t="str">
        <f>"1398"</f>
        <v>1398</v>
      </c>
      <c r="B199" s="3" t="s">
        <v>1051</v>
      </c>
      <c r="C199" s="3" t="str">
        <f>"金盆岭街道"</f>
        <v>金盆岭街道</v>
      </c>
      <c r="D199" s="3" t="str">
        <f>"狮子山社区"</f>
        <v>狮子山社区</v>
      </c>
      <c r="E199" s="3" t="str">
        <f t="shared" si="74"/>
        <v>140</v>
      </c>
      <c r="F199" s="3" t="str">
        <f t="shared" si="58"/>
        <v>100</v>
      </c>
      <c r="G199" s="3" t="str">
        <f t="shared" si="75"/>
        <v>二级</v>
      </c>
    </row>
    <row r="200" customHeight="1" spans="1:7">
      <c r="A200" s="3" t="str">
        <f>"1399"</f>
        <v>1399</v>
      </c>
      <c r="B200" s="3" t="s">
        <v>1052</v>
      </c>
      <c r="C200" s="3" t="str">
        <f>"青园街道"</f>
        <v>青园街道</v>
      </c>
      <c r="D200" s="3" t="str">
        <f>"友谊社区"</f>
        <v>友谊社区</v>
      </c>
      <c r="E200" s="3" t="str">
        <f t="shared" si="74"/>
        <v>140</v>
      </c>
      <c r="F200" s="3" t="str">
        <f t="shared" si="58"/>
        <v>100</v>
      </c>
      <c r="G200" s="3" t="str">
        <f t="shared" si="76"/>
        <v>一级</v>
      </c>
    </row>
    <row r="201" customHeight="1" spans="1:7">
      <c r="A201" s="3" t="str">
        <f>"1400"</f>
        <v>1400</v>
      </c>
      <c r="B201" s="3" t="s">
        <v>1006</v>
      </c>
      <c r="C201" s="3" t="str">
        <f>"大托铺街道"</f>
        <v>大托铺街道</v>
      </c>
      <c r="D201" s="3" t="str">
        <f>"黄合村委会"</f>
        <v>黄合村委会</v>
      </c>
      <c r="E201" s="3" t="str">
        <f t="shared" si="74"/>
        <v>140</v>
      </c>
      <c r="F201" s="3" t="str">
        <f t="shared" si="58"/>
        <v>100</v>
      </c>
      <c r="G201" s="3" t="str">
        <f t="shared" ref="G201:G206" si="77">"二级"</f>
        <v>二级</v>
      </c>
    </row>
    <row r="202" customHeight="1" spans="1:7">
      <c r="A202" s="3" t="str">
        <f>"1401"</f>
        <v>1401</v>
      </c>
      <c r="B202" s="3" t="s">
        <v>1053</v>
      </c>
      <c r="C202" s="3" t="str">
        <f>"赤岭路街道"</f>
        <v>赤岭路街道</v>
      </c>
      <c r="D202" s="3" t="str">
        <f>"广厦新村社区"</f>
        <v>广厦新村社区</v>
      </c>
      <c r="E202" s="3" t="str">
        <f t="shared" si="74"/>
        <v>140</v>
      </c>
      <c r="F202" s="3" t="str">
        <f t="shared" si="58"/>
        <v>100</v>
      </c>
      <c r="G202" s="3" t="str">
        <f t="shared" ref="G202:G204" si="78">"一级"</f>
        <v>一级</v>
      </c>
    </row>
    <row r="203" customHeight="1" spans="1:7">
      <c r="A203" s="3" t="str">
        <f>"1402"</f>
        <v>1402</v>
      </c>
      <c r="B203" s="3" t="s">
        <v>1054</v>
      </c>
      <c r="C203" s="3" t="str">
        <f>"先锋街道"</f>
        <v>先锋街道</v>
      </c>
      <c r="D203" s="3" t="str">
        <f>"新宇社区"</f>
        <v>新宇社区</v>
      </c>
      <c r="E203" s="3" t="str">
        <f t="shared" si="74"/>
        <v>140</v>
      </c>
      <c r="F203" s="3" t="str">
        <f t="shared" si="58"/>
        <v>100</v>
      </c>
      <c r="G203" s="3" t="str">
        <f t="shared" si="78"/>
        <v>一级</v>
      </c>
    </row>
    <row r="204" customHeight="1" spans="1:7">
      <c r="A204" s="3" t="str">
        <f>"1403"</f>
        <v>1403</v>
      </c>
      <c r="B204" s="3" t="s">
        <v>139</v>
      </c>
      <c r="C204" s="3" t="str">
        <f>"金盆岭街道"</f>
        <v>金盆岭街道</v>
      </c>
      <c r="D204" s="3" t="str">
        <f>"狮子山社区"</f>
        <v>狮子山社区</v>
      </c>
      <c r="E204" s="3" t="str">
        <f t="shared" si="74"/>
        <v>140</v>
      </c>
      <c r="F204" s="3" t="str">
        <f t="shared" si="58"/>
        <v>100</v>
      </c>
      <c r="G204" s="3" t="str">
        <f t="shared" si="78"/>
        <v>一级</v>
      </c>
    </row>
    <row r="205" customHeight="1" spans="1:7">
      <c r="A205" s="3" t="str">
        <f>"1404"</f>
        <v>1404</v>
      </c>
      <c r="B205" s="3" t="s">
        <v>1055</v>
      </c>
      <c r="C205" s="3" t="str">
        <f>"大托铺街道"</f>
        <v>大托铺街道</v>
      </c>
      <c r="D205" s="3" t="str">
        <f>"黄合村委会"</f>
        <v>黄合村委会</v>
      </c>
      <c r="E205" s="3" t="str">
        <f t="shared" si="74"/>
        <v>140</v>
      </c>
      <c r="F205" s="3" t="str">
        <f t="shared" ref="F205:F268" si="79">"100"</f>
        <v>100</v>
      </c>
      <c r="G205" s="3" t="str">
        <f t="shared" si="77"/>
        <v>二级</v>
      </c>
    </row>
    <row r="206" customHeight="1" spans="1:7">
      <c r="A206" s="3" t="str">
        <f>"1405"</f>
        <v>1405</v>
      </c>
      <c r="B206" s="3" t="s">
        <v>1056</v>
      </c>
      <c r="C206" s="3" t="str">
        <f>"暮云街道"</f>
        <v>暮云街道</v>
      </c>
      <c r="D206" s="3" t="str">
        <f>"云塘社区"</f>
        <v>云塘社区</v>
      </c>
      <c r="E206" s="3" t="str">
        <f t="shared" si="74"/>
        <v>140</v>
      </c>
      <c r="F206" s="3" t="str">
        <f t="shared" si="79"/>
        <v>100</v>
      </c>
      <c r="G206" s="3" t="str">
        <f t="shared" si="77"/>
        <v>二级</v>
      </c>
    </row>
    <row r="207" customHeight="1" spans="1:7">
      <c r="A207" s="3" t="str">
        <f>"1406"</f>
        <v>1406</v>
      </c>
      <c r="B207" s="3" t="s">
        <v>1057</v>
      </c>
      <c r="C207" s="3" t="str">
        <f>"裕南街街道"</f>
        <v>裕南街街道</v>
      </c>
      <c r="D207" s="3" t="str">
        <f>"长坡社区"</f>
        <v>长坡社区</v>
      </c>
      <c r="E207" s="3" t="str">
        <f t="shared" si="74"/>
        <v>140</v>
      </c>
      <c r="F207" s="3" t="str">
        <f t="shared" si="79"/>
        <v>100</v>
      </c>
      <c r="G207" s="3" t="str">
        <f t="shared" ref="G207:G213" si="80">"一级"</f>
        <v>一级</v>
      </c>
    </row>
    <row r="208" customHeight="1" spans="1:7">
      <c r="A208" s="3" t="str">
        <f>"1407"</f>
        <v>1407</v>
      </c>
      <c r="B208" s="3" t="s">
        <v>558</v>
      </c>
      <c r="C208" s="3" t="str">
        <f>"先锋街道"</f>
        <v>先锋街道</v>
      </c>
      <c r="D208" s="3" t="str">
        <f>"嘉和社区"</f>
        <v>嘉和社区</v>
      </c>
      <c r="E208" s="3" t="str">
        <f t="shared" si="74"/>
        <v>140</v>
      </c>
      <c r="F208" s="3" t="str">
        <f t="shared" si="79"/>
        <v>100</v>
      </c>
      <c r="G208" s="3" t="str">
        <f t="shared" ref="G208:G211" si="81">"二级"</f>
        <v>二级</v>
      </c>
    </row>
    <row r="209" customHeight="1" spans="1:7">
      <c r="A209" s="3" t="str">
        <f>"1408"</f>
        <v>1408</v>
      </c>
      <c r="B209" s="3" t="s">
        <v>1058</v>
      </c>
      <c r="C209" s="3" t="str">
        <f>"坡子街街道"</f>
        <v>坡子街街道</v>
      </c>
      <c r="D209" s="3" t="str">
        <f>"文庙坪社区"</f>
        <v>文庙坪社区</v>
      </c>
      <c r="E209" s="3" t="str">
        <f t="shared" si="74"/>
        <v>140</v>
      </c>
      <c r="F209" s="3" t="str">
        <f t="shared" si="79"/>
        <v>100</v>
      </c>
      <c r="G209" s="3" t="str">
        <f t="shared" si="81"/>
        <v>二级</v>
      </c>
    </row>
    <row r="210" customHeight="1" spans="1:7">
      <c r="A210" s="3" t="str">
        <f>"1409"</f>
        <v>1409</v>
      </c>
      <c r="B210" s="3" t="s">
        <v>1059</v>
      </c>
      <c r="C210" s="3" t="str">
        <f>"赤岭路街道"</f>
        <v>赤岭路街道</v>
      </c>
      <c r="D210" s="3" t="str">
        <f>"猴子石社区"</f>
        <v>猴子石社区</v>
      </c>
      <c r="E210" s="3" t="str">
        <f t="shared" si="74"/>
        <v>140</v>
      </c>
      <c r="F210" s="3" t="str">
        <f t="shared" si="79"/>
        <v>100</v>
      </c>
      <c r="G210" s="3" t="str">
        <f t="shared" si="80"/>
        <v>一级</v>
      </c>
    </row>
    <row r="211" customHeight="1" spans="1:7">
      <c r="A211" s="3" t="str">
        <f>"1410"</f>
        <v>1410</v>
      </c>
      <c r="B211" s="3" t="s">
        <v>1060</v>
      </c>
      <c r="C211" s="3" t="str">
        <f>"金盆岭街道"</f>
        <v>金盆岭街道</v>
      </c>
      <c r="D211" s="3" t="str">
        <f>"赤岭路社区"</f>
        <v>赤岭路社区</v>
      </c>
      <c r="E211" s="3" t="str">
        <f t="shared" si="74"/>
        <v>140</v>
      </c>
      <c r="F211" s="3" t="str">
        <f t="shared" si="79"/>
        <v>100</v>
      </c>
      <c r="G211" s="3" t="str">
        <f t="shared" si="81"/>
        <v>二级</v>
      </c>
    </row>
    <row r="212" customHeight="1" spans="1:7">
      <c r="A212" s="3" t="str">
        <f>"1411"</f>
        <v>1411</v>
      </c>
      <c r="B212" s="3" t="s">
        <v>1061</v>
      </c>
      <c r="C212" s="3" t="str">
        <f>"暮云街道"</f>
        <v>暮云街道</v>
      </c>
      <c r="D212" s="3" t="str">
        <f>"高云社区"</f>
        <v>高云社区</v>
      </c>
      <c r="E212" s="3" t="str">
        <f t="shared" si="74"/>
        <v>140</v>
      </c>
      <c r="F212" s="3" t="str">
        <f t="shared" si="79"/>
        <v>100</v>
      </c>
      <c r="G212" s="3" t="str">
        <f t="shared" si="80"/>
        <v>一级</v>
      </c>
    </row>
    <row r="213" customHeight="1" spans="1:7">
      <c r="A213" s="3" t="str">
        <f>"1412"</f>
        <v>1412</v>
      </c>
      <c r="B213" s="3" t="s">
        <v>1062</v>
      </c>
      <c r="C213" s="3" t="str">
        <f>"先锋街道"</f>
        <v>先锋街道</v>
      </c>
      <c r="D213" s="3" t="str">
        <f>"尚双塘社区"</f>
        <v>尚双塘社区</v>
      </c>
      <c r="E213" s="3" t="str">
        <f t="shared" si="74"/>
        <v>140</v>
      </c>
      <c r="F213" s="3" t="str">
        <f t="shared" si="79"/>
        <v>100</v>
      </c>
      <c r="G213" s="3" t="str">
        <f t="shared" si="80"/>
        <v>一级</v>
      </c>
    </row>
    <row r="214" customHeight="1" spans="1:7">
      <c r="A214" s="3" t="str">
        <f>"1413"</f>
        <v>1413</v>
      </c>
      <c r="B214" s="3" t="s">
        <v>1063</v>
      </c>
      <c r="C214" s="3" t="str">
        <f>"南托街道"</f>
        <v>南托街道</v>
      </c>
      <c r="D214" s="3" t="str">
        <f>"滨洲新村"</f>
        <v>滨洲新村</v>
      </c>
      <c r="E214" s="3" t="str">
        <f t="shared" si="74"/>
        <v>140</v>
      </c>
      <c r="F214" s="3" t="str">
        <f t="shared" si="79"/>
        <v>100</v>
      </c>
      <c r="G214" s="3" t="str">
        <f>"二级"</f>
        <v>二级</v>
      </c>
    </row>
    <row r="215" customHeight="1" spans="1:7">
      <c r="A215" s="3" t="str">
        <f>"1414"</f>
        <v>1414</v>
      </c>
      <c r="B215" s="3" t="s">
        <v>1064</v>
      </c>
      <c r="C215" s="3" t="str">
        <f>"南托街道"</f>
        <v>南托街道</v>
      </c>
      <c r="D215" s="3" t="str">
        <f>"牛角塘村"</f>
        <v>牛角塘村</v>
      </c>
      <c r="E215" s="3" t="str">
        <f t="shared" si="74"/>
        <v>140</v>
      </c>
      <c r="F215" s="3" t="str">
        <f t="shared" si="79"/>
        <v>100</v>
      </c>
      <c r="G215" s="3" t="str">
        <f t="shared" ref="G215:G219" si="82">"一级"</f>
        <v>一级</v>
      </c>
    </row>
    <row r="216" customHeight="1" spans="1:7">
      <c r="A216" s="3" t="str">
        <f>"1415"</f>
        <v>1415</v>
      </c>
      <c r="B216" s="3" t="s">
        <v>110</v>
      </c>
      <c r="C216" s="3" t="str">
        <f>"大托铺街道"</f>
        <v>大托铺街道</v>
      </c>
      <c r="D216" s="3" t="str">
        <f>"大托村委会"</f>
        <v>大托村委会</v>
      </c>
      <c r="E216" s="3" t="str">
        <f t="shared" si="74"/>
        <v>140</v>
      </c>
      <c r="F216" s="3" t="str">
        <f t="shared" si="79"/>
        <v>100</v>
      </c>
      <c r="G216" s="3" t="str">
        <f t="shared" si="82"/>
        <v>一级</v>
      </c>
    </row>
    <row r="217" customHeight="1" spans="1:7">
      <c r="A217" s="3" t="str">
        <f>"1416"</f>
        <v>1416</v>
      </c>
      <c r="B217" s="3" t="s">
        <v>1065</v>
      </c>
      <c r="C217" s="3" t="str">
        <f>"青园街道"</f>
        <v>青园街道</v>
      </c>
      <c r="D217" s="3" t="str">
        <f>"井湾子社区"</f>
        <v>井湾子社区</v>
      </c>
      <c r="E217" s="3" t="str">
        <f t="shared" si="74"/>
        <v>140</v>
      </c>
      <c r="F217" s="3" t="str">
        <f t="shared" si="79"/>
        <v>100</v>
      </c>
      <c r="G217" s="3" t="str">
        <f t="shared" si="82"/>
        <v>一级</v>
      </c>
    </row>
    <row r="218" customHeight="1" spans="1:7">
      <c r="A218" s="3" t="str">
        <f>"1417"</f>
        <v>1417</v>
      </c>
      <c r="B218" s="3" t="s">
        <v>881</v>
      </c>
      <c r="C218" s="3" t="str">
        <f>"黑石铺街道"</f>
        <v>黑石铺街道</v>
      </c>
      <c r="D218" s="3" t="str">
        <f>"一力社区"</f>
        <v>一力社区</v>
      </c>
      <c r="E218" s="3" t="str">
        <f t="shared" si="74"/>
        <v>140</v>
      </c>
      <c r="F218" s="3" t="str">
        <f t="shared" si="79"/>
        <v>100</v>
      </c>
      <c r="G218" s="3" t="str">
        <f t="shared" si="82"/>
        <v>一级</v>
      </c>
    </row>
    <row r="219" customHeight="1" spans="1:7">
      <c r="A219" s="3" t="str">
        <f>"1418"</f>
        <v>1418</v>
      </c>
      <c r="B219" s="3" t="s">
        <v>454</v>
      </c>
      <c r="C219" s="3" t="str">
        <f t="shared" ref="C219:C225" si="83">"暮云街道"</f>
        <v>暮云街道</v>
      </c>
      <c r="D219" s="3" t="str">
        <f>"高云社区"</f>
        <v>高云社区</v>
      </c>
      <c r="E219" s="3" t="str">
        <f t="shared" si="74"/>
        <v>140</v>
      </c>
      <c r="F219" s="3" t="str">
        <f t="shared" si="79"/>
        <v>100</v>
      </c>
      <c r="G219" s="3" t="str">
        <f t="shared" si="82"/>
        <v>一级</v>
      </c>
    </row>
    <row r="220" customHeight="1" spans="1:7">
      <c r="A220" s="3" t="str">
        <f>"1419"</f>
        <v>1419</v>
      </c>
      <c r="B220" s="3" t="s">
        <v>500</v>
      </c>
      <c r="C220" s="3" t="str">
        <f t="shared" ref="C220:C223" si="84">"南托街道"</f>
        <v>南托街道</v>
      </c>
      <c r="D220" s="3" t="str">
        <f>"沿江村"</f>
        <v>沿江村</v>
      </c>
      <c r="E220" s="3" t="str">
        <f t="shared" si="74"/>
        <v>140</v>
      </c>
      <c r="F220" s="3" t="str">
        <f t="shared" si="79"/>
        <v>100</v>
      </c>
      <c r="G220" s="3" t="str">
        <f t="shared" ref="G220:G225" si="85">"二级"</f>
        <v>二级</v>
      </c>
    </row>
    <row r="221" customHeight="1" spans="1:7">
      <c r="A221" s="3" t="str">
        <f>"1420"</f>
        <v>1420</v>
      </c>
      <c r="B221" s="3" t="s">
        <v>125</v>
      </c>
      <c r="C221" s="3" t="str">
        <f t="shared" si="83"/>
        <v>暮云街道</v>
      </c>
      <c r="D221" s="3" t="str">
        <f>"暮云新村"</f>
        <v>暮云新村</v>
      </c>
      <c r="E221" s="3" t="str">
        <f t="shared" si="74"/>
        <v>140</v>
      </c>
      <c r="F221" s="3" t="str">
        <f t="shared" si="79"/>
        <v>100</v>
      </c>
      <c r="G221" s="3" t="str">
        <f t="shared" ref="G221:G223" si="86">"一级"</f>
        <v>一级</v>
      </c>
    </row>
    <row r="222" customHeight="1" spans="1:7">
      <c r="A222" s="3" t="str">
        <f>"1421"</f>
        <v>1421</v>
      </c>
      <c r="B222" s="3" t="s">
        <v>1066</v>
      </c>
      <c r="C222" s="3" t="str">
        <f t="shared" si="84"/>
        <v>南托街道</v>
      </c>
      <c r="D222" s="3" t="str">
        <f t="shared" ref="D222:D228" si="87">"滨洲新村"</f>
        <v>滨洲新村</v>
      </c>
      <c r="E222" s="3" t="str">
        <f t="shared" si="74"/>
        <v>140</v>
      </c>
      <c r="F222" s="3" t="str">
        <f t="shared" si="79"/>
        <v>100</v>
      </c>
      <c r="G222" s="3" t="str">
        <f t="shared" si="86"/>
        <v>一级</v>
      </c>
    </row>
    <row r="223" customHeight="1" spans="1:7">
      <c r="A223" s="3" t="str">
        <f>"1422"</f>
        <v>1422</v>
      </c>
      <c r="B223" s="3" t="s">
        <v>1067</v>
      </c>
      <c r="C223" s="3" t="str">
        <f t="shared" si="84"/>
        <v>南托街道</v>
      </c>
      <c r="D223" s="3" t="str">
        <f>"南托岭社区"</f>
        <v>南托岭社区</v>
      </c>
      <c r="E223" s="3" t="str">
        <f t="shared" si="74"/>
        <v>140</v>
      </c>
      <c r="F223" s="3" t="str">
        <f t="shared" si="79"/>
        <v>100</v>
      </c>
      <c r="G223" s="3" t="str">
        <f t="shared" si="86"/>
        <v>一级</v>
      </c>
    </row>
    <row r="224" customHeight="1" spans="1:7">
      <c r="A224" s="3" t="str">
        <f>"1423"</f>
        <v>1423</v>
      </c>
      <c r="B224" s="3" t="s">
        <v>1068</v>
      </c>
      <c r="C224" s="3" t="str">
        <f t="shared" si="83"/>
        <v>暮云街道</v>
      </c>
      <c r="D224" s="3" t="str">
        <f>"许兴村"</f>
        <v>许兴村</v>
      </c>
      <c r="E224" s="3" t="str">
        <f t="shared" si="74"/>
        <v>140</v>
      </c>
      <c r="F224" s="3" t="str">
        <f t="shared" si="79"/>
        <v>100</v>
      </c>
      <c r="G224" s="3" t="str">
        <f t="shared" si="85"/>
        <v>二级</v>
      </c>
    </row>
    <row r="225" customHeight="1" spans="1:7">
      <c r="A225" s="3" t="str">
        <f>"1424"</f>
        <v>1424</v>
      </c>
      <c r="B225" s="3" t="s">
        <v>1069</v>
      </c>
      <c r="C225" s="3" t="str">
        <f t="shared" si="83"/>
        <v>暮云街道</v>
      </c>
      <c r="D225" s="3" t="str">
        <f>"莲华村"</f>
        <v>莲华村</v>
      </c>
      <c r="E225" s="3" t="str">
        <f t="shared" si="74"/>
        <v>140</v>
      </c>
      <c r="F225" s="3" t="str">
        <f t="shared" si="79"/>
        <v>100</v>
      </c>
      <c r="G225" s="3" t="str">
        <f t="shared" si="85"/>
        <v>二级</v>
      </c>
    </row>
    <row r="226" customHeight="1" spans="1:7">
      <c r="A226" s="3" t="str">
        <f>"1425"</f>
        <v>1425</v>
      </c>
      <c r="B226" s="3" t="s">
        <v>765</v>
      </c>
      <c r="C226" s="3" t="str">
        <f t="shared" ref="C226:C229" si="88">"南托街道"</f>
        <v>南托街道</v>
      </c>
      <c r="D226" s="3" t="str">
        <f t="shared" si="87"/>
        <v>滨洲新村</v>
      </c>
      <c r="E226" s="3" t="str">
        <f t="shared" si="74"/>
        <v>140</v>
      </c>
      <c r="F226" s="3" t="str">
        <f t="shared" si="79"/>
        <v>100</v>
      </c>
      <c r="G226" s="3" t="str">
        <f>"一级"</f>
        <v>一级</v>
      </c>
    </row>
    <row r="227" customHeight="1" spans="1:7">
      <c r="A227" s="3" t="str">
        <f>"1426"</f>
        <v>1426</v>
      </c>
      <c r="B227" s="3" t="s">
        <v>139</v>
      </c>
      <c r="C227" s="3" t="str">
        <f t="shared" si="88"/>
        <v>南托街道</v>
      </c>
      <c r="D227" s="3" t="str">
        <f t="shared" si="87"/>
        <v>滨洲新村</v>
      </c>
      <c r="E227" s="3" t="str">
        <f t="shared" si="74"/>
        <v>140</v>
      </c>
      <c r="F227" s="3" t="str">
        <f t="shared" si="79"/>
        <v>100</v>
      </c>
      <c r="G227" s="3" t="str">
        <f t="shared" ref="G227:G229" si="89">"二级"</f>
        <v>二级</v>
      </c>
    </row>
    <row r="228" customHeight="1" spans="1:7">
      <c r="A228" s="3" t="str">
        <f>"1427"</f>
        <v>1427</v>
      </c>
      <c r="B228" s="3" t="s">
        <v>80</v>
      </c>
      <c r="C228" s="3" t="str">
        <f t="shared" si="88"/>
        <v>南托街道</v>
      </c>
      <c r="D228" s="3" t="str">
        <f t="shared" si="87"/>
        <v>滨洲新村</v>
      </c>
      <c r="E228" s="3" t="str">
        <f t="shared" si="74"/>
        <v>140</v>
      </c>
      <c r="F228" s="3" t="str">
        <f t="shared" si="79"/>
        <v>100</v>
      </c>
      <c r="G228" s="3" t="str">
        <f t="shared" si="89"/>
        <v>二级</v>
      </c>
    </row>
    <row r="229" customHeight="1" spans="1:7">
      <c r="A229" s="3" t="str">
        <f>"1428"</f>
        <v>1428</v>
      </c>
      <c r="B229" s="3" t="s">
        <v>1070</v>
      </c>
      <c r="C229" s="3" t="str">
        <f t="shared" si="88"/>
        <v>南托街道</v>
      </c>
      <c r="D229" s="3" t="str">
        <f>"沿江村"</f>
        <v>沿江村</v>
      </c>
      <c r="E229" s="3" t="str">
        <f t="shared" si="74"/>
        <v>140</v>
      </c>
      <c r="F229" s="3" t="str">
        <f t="shared" si="79"/>
        <v>100</v>
      </c>
      <c r="G229" s="3" t="str">
        <f t="shared" si="89"/>
        <v>二级</v>
      </c>
    </row>
    <row r="230" customHeight="1" spans="1:7">
      <c r="A230" s="3" t="str">
        <f>"1429"</f>
        <v>1429</v>
      </c>
      <c r="B230" s="3" t="s">
        <v>1071</v>
      </c>
      <c r="C230" s="3" t="str">
        <f t="shared" ref="C230:C233" si="90">"暮云街道"</f>
        <v>暮云街道</v>
      </c>
      <c r="D230" s="3" t="str">
        <f>"暮云新村"</f>
        <v>暮云新村</v>
      </c>
      <c r="E230" s="3" t="str">
        <f t="shared" si="74"/>
        <v>140</v>
      </c>
      <c r="F230" s="3" t="str">
        <f t="shared" si="79"/>
        <v>100</v>
      </c>
      <c r="G230" s="3" t="str">
        <f>"一级"</f>
        <v>一级</v>
      </c>
    </row>
    <row r="231" customHeight="1" spans="1:7">
      <c r="A231" s="3" t="str">
        <f>"1430"</f>
        <v>1430</v>
      </c>
      <c r="B231" s="3" t="s">
        <v>1070</v>
      </c>
      <c r="C231" s="3" t="str">
        <f>"南托街道"</f>
        <v>南托街道</v>
      </c>
      <c r="D231" s="3" t="str">
        <f>"牛角塘村"</f>
        <v>牛角塘村</v>
      </c>
      <c r="E231" s="3" t="str">
        <f t="shared" si="74"/>
        <v>140</v>
      </c>
      <c r="F231" s="3" t="str">
        <f t="shared" si="79"/>
        <v>100</v>
      </c>
      <c r="G231" s="3" t="str">
        <f t="shared" ref="G231:G237" si="91">"二级"</f>
        <v>二级</v>
      </c>
    </row>
    <row r="232" customHeight="1" spans="1:7">
      <c r="A232" s="3" t="str">
        <f>"1431"</f>
        <v>1431</v>
      </c>
      <c r="B232" s="3" t="s">
        <v>1072</v>
      </c>
      <c r="C232" s="3" t="str">
        <f t="shared" si="90"/>
        <v>暮云街道</v>
      </c>
      <c r="D232" s="3" t="str">
        <f>"暮云新村"</f>
        <v>暮云新村</v>
      </c>
      <c r="E232" s="3" t="str">
        <f t="shared" si="74"/>
        <v>140</v>
      </c>
      <c r="F232" s="3" t="str">
        <f t="shared" si="79"/>
        <v>100</v>
      </c>
      <c r="G232" s="3" t="str">
        <f t="shared" si="91"/>
        <v>二级</v>
      </c>
    </row>
    <row r="233" customHeight="1" spans="1:7">
      <c r="A233" s="3" t="str">
        <f>"1432"</f>
        <v>1432</v>
      </c>
      <c r="B233" s="3" t="s">
        <v>661</v>
      </c>
      <c r="C233" s="3" t="str">
        <f t="shared" si="90"/>
        <v>暮云街道</v>
      </c>
      <c r="D233" s="3" t="str">
        <f>"暮云社区"</f>
        <v>暮云社区</v>
      </c>
      <c r="E233" s="3" t="str">
        <f t="shared" si="74"/>
        <v>140</v>
      </c>
      <c r="F233" s="3" t="str">
        <f t="shared" si="79"/>
        <v>100</v>
      </c>
      <c r="G233" s="3" t="str">
        <f>"一级"</f>
        <v>一级</v>
      </c>
    </row>
    <row r="234" customHeight="1" spans="1:7">
      <c r="A234" s="3" t="str">
        <f>"1433"</f>
        <v>1433</v>
      </c>
      <c r="B234" s="3" t="s">
        <v>54</v>
      </c>
      <c r="C234" s="3" t="str">
        <f>"坡子街街道"</f>
        <v>坡子街街道</v>
      </c>
      <c r="D234" s="3" t="str">
        <f>"八角亭社区"</f>
        <v>八角亭社区</v>
      </c>
      <c r="E234" s="3" t="str">
        <f t="shared" si="74"/>
        <v>140</v>
      </c>
      <c r="F234" s="3" t="str">
        <f t="shared" si="79"/>
        <v>100</v>
      </c>
      <c r="G234" s="3" t="str">
        <f t="shared" si="91"/>
        <v>二级</v>
      </c>
    </row>
    <row r="235" customHeight="1" spans="1:7">
      <c r="A235" s="3" t="str">
        <f>"1434"</f>
        <v>1434</v>
      </c>
      <c r="B235" s="3" t="s">
        <v>1073</v>
      </c>
      <c r="C235" s="3" t="str">
        <f>"金盆岭街道"</f>
        <v>金盆岭街道</v>
      </c>
      <c r="D235" s="3" t="str">
        <f>"天剑社区"</f>
        <v>天剑社区</v>
      </c>
      <c r="E235" s="3" t="str">
        <f t="shared" si="74"/>
        <v>140</v>
      </c>
      <c r="F235" s="3" t="str">
        <f t="shared" si="79"/>
        <v>100</v>
      </c>
      <c r="G235" s="3" t="str">
        <f t="shared" si="91"/>
        <v>二级</v>
      </c>
    </row>
    <row r="236" customHeight="1" spans="1:7">
      <c r="A236" s="3" t="str">
        <f>"1435"</f>
        <v>1435</v>
      </c>
      <c r="B236" s="3" t="s">
        <v>391</v>
      </c>
      <c r="C236" s="3" t="str">
        <f>"金盆岭街道"</f>
        <v>金盆岭街道</v>
      </c>
      <c r="D236" s="3" t="str">
        <f>"黄土岭社区"</f>
        <v>黄土岭社区</v>
      </c>
      <c r="E236" s="3" t="str">
        <f t="shared" si="74"/>
        <v>140</v>
      </c>
      <c r="F236" s="3" t="str">
        <f t="shared" si="79"/>
        <v>100</v>
      </c>
      <c r="G236" s="3" t="str">
        <f t="shared" si="91"/>
        <v>二级</v>
      </c>
    </row>
    <row r="237" customHeight="1" spans="1:7">
      <c r="A237" s="3" t="str">
        <f>"1436"</f>
        <v>1436</v>
      </c>
      <c r="B237" s="3" t="s">
        <v>1074</v>
      </c>
      <c r="C237" s="3" t="str">
        <f>"赤岭路街道"</f>
        <v>赤岭路街道</v>
      </c>
      <c r="D237" s="3" t="str">
        <f>"南大桥社区"</f>
        <v>南大桥社区</v>
      </c>
      <c r="E237" s="3" t="str">
        <f t="shared" si="74"/>
        <v>140</v>
      </c>
      <c r="F237" s="3" t="str">
        <f t="shared" si="79"/>
        <v>100</v>
      </c>
      <c r="G237" s="3" t="str">
        <f t="shared" si="91"/>
        <v>二级</v>
      </c>
    </row>
    <row r="238" customHeight="1" spans="1:7">
      <c r="A238" s="3" t="str">
        <f>"1437"</f>
        <v>1437</v>
      </c>
      <c r="B238" s="3" t="s">
        <v>1075</v>
      </c>
      <c r="C238" s="3" t="str">
        <f t="shared" ref="C238:C241" si="92">"裕南街街道"</f>
        <v>裕南街街道</v>
      </c>
      <c r="D238" s="3" t="str">
        <f>"仰天湖社区"</f>
        <v>仰天湖社区</v>
      </c>
      <c r="E238" s="3" t="str">
        <f t="shared" si="74"/>
        <v>140</v>
      </c>
      <c r="F238" s="3" t="str">
        <f t="shared" si="79"/>
        <v>100</v>
      </c>
      <c r="G238" s="3" t="str">
        <f t="shared" ref="G238:G241" si="93">"一级"</f>
        <v>一级</v>
      </c>
    </row>
    <row r="239" customHeight="1" spans="1:7">
      <c r="A239" s="3" t="str">
        <f>"1438"</f>
        <v>1438</v>
      </c>
      <c r="B239" s="3" t="s">
        <v>1076</v>
      </c>
      <c r="C239" s="3" t="str">
        <f t="shared" si="92"/>
        <v>裕南街街道</v>
      </c>
      <c r="D239" s="3" t="str">
        <f>"石子冲社区"</f>
        <v>石子冲社区</v>
      </c>
      <c r="E239" s="3" t="str">
        <f t="shared" si="74"/>
        <v>140</v>
      </c>
      <c r="F239" s="3" t="str">
        <f t="shared" si="79"/>
        <v>100</v>
      </c>
      <c r="G239" s="3" t="str">
        <f t="shared" si="93"/>
        <v>一级</v>
      </c>
    </row>
    <row r="240" customHeight="1" spans="1:7">
      <c r="A240" s="3" t="str">
        <f>"1439"</f>
        <v>1439</v>
      </c>
      <c r="B240" s="3" t="s">
        <v>1077</v>
      </c>
      <c r="C240" s="3" t="str">
        <f>"赤岭路街道"</f>
        <v>赤岭路街道</v>
      </c>
      <c r="D240" s="3" t="str">
        <f>"南大桥社区"</f>
        <v>南大桥社区</v>
      </c>
      <c r="E240" s="3" t="str">
        <f t="shared" si="74"/>
        <v>140</v>
      </c>
      <c r="F240" s="3" t="str">
        <f t="shared" si="79"/>
        <v>100</v>
      </c>
      <c r="G240" s="3" t="str">
        <f t="shared" ref="G240:G244" si="94">"二级"</f>
        <v>二级</v>
      </c>
    </row>
    <row r="241" customHeight="1" spans="1:7">
      <c r="A241" s="3" t="str">
        <f>"1440"</f>
        <v>1440</v>
      </c>
      <c r="B241" s="3" t="s">
        <v>1078</v>
      </c>
      <c r="C241" s="3" t="str">
        <f t="shared" si="92"/>
        <v>裕南街街道</v>
      </c>
      <c r="D241" s="3" t="str">
        <f>"东瓜山社区"</f>
        <v>东瓜山社区</v>
      </c>
      <c r="E241" s="3" t="str">
        <f t="shared" si="74"/>
        <v>140</v>
      </c>
      <c r="F241" s="3" t="str">
        <f t="shared" si="79"/>
        <v>100</v>
      </c>
      <c r="G241" s="3" t="str">
        <f t="shared" si="93"/>
        <v>一级</v>
      </c>
    </row>
    <row r="242" customHeight="1" spans="1:7">
      <c r="A242" s="3" t="str">
        <f>"1441"</f>
        <v>1441</v>
      </c>
      <c r="B242" s="3" t="s">
        <v>1079</v>
      </c>
      <c r="C242" s="3" t="str">
        <f>"城南路街道"</f>
        <v>城南路街道</v>
      </c>
      <c r="D242" s="3" t="str">
        <f>"工农桥社区"</f>
        <v>工农桥社区</v>
      </c>
      <c r="E242" s="3" t="str">
        <f t="shared" si="74"/>
        <v>140</v>
      </c>
      <c r="F242" s="3" t="str">
        <f t="shared" si="79"/>
        <v>100</v>
      </c>
      <c r="G242" s="3" t="str">
        <f t="shared" si="94"/>
        <v>二级</v>
      </c>
    </row>
    <row r="243" customHeight="1" spans="1:7">
      <c r="A243" s="3" t="str">
        <f>"1442"</f>
        <v>1442</v>
      </c>
      <c r="B243" s="3" t="s">
        <v>1080</v>
      </c>
      <c r="C243" s="3" t="str">
        <f>"城南路街道"</f>
        <v>城南路街道</v>
      </c>
      <c r="D243" s="3" t="str">
        <f>"古道巷社区"</f>
        <v>古道巷社区</v>
      </c>
      <c r="E243" s="3" t="str">
        <f t="shared" si="74"/>
        <v>140</v>
      </c>
      <c r="F243" s="3" t="str">
        <f t="shared" si="79"/>
        <v>100</v>
      </c>
      <c r="G243" s="3" t="str">
        <f t="shared" ref="G243:G246" si="95">"一级"</f>
        <v>一级</v>
      </c>
    </row>
    <row r="244" customHeight="1" spans="1:7">
      <c r="A244" s="3" t="str">
        <f>"1443"</f>
        <v>1443</v>
      </c>
      <c r="B244" s="3" t="s">
        <v>1081</v>
      </c>
      <c r="C244" s="3" t="str">
        <f>"新开铺街道"</f>
        <v>新开铺街道</v>
      </c>
      <c r="D244" s="3" t="str">
        <f>"新天社区"</f>
        <v>新天社区</v>
      </c>
      <c r="E244" s="3" t="str">
        <f t="shared" si="74"/>
        <v>140</v>
      </c>
      <c r="F244" s="3" t="str">
        <f t="shared" si="79"/>
        <v>100</v>
      </c>
      <c r="G244" s="3" t="str">
        <f t="shared" si="94"/>
        <v>二级</v>
      </c>
    </row>
    <row r="245" customHeight="1" spans="1:7">
      <c r="A245" s="3" t="str">
        <f>"1444"</f>
        <v>1444</v>
      </c>
      <c r="B245" s="3" t="s">
        <v>1082</v>
      </c>
      <c r="C245" s="3" t="str">
        <f>"坡子街街道"</f>
        <v>坡子街街道</v>
      </c>
      <c r="D245" s="3" t="str">
        <f>"青山祠社区"</f>
        <v>青山祠社区</v>
      </c>
      <c r="E245" s="3" t="str">
        <f t="shared" si="74"/>
        <v>140</v>
      </c>
      <c r="F245" s="3" t="str">
        <f t="shared" si="79"/>
        <v>100</v>
      </c>
      <c r="G245" s="3" t="str">
        <f t="shared" si="95"/>
        <v>一级</v>
      </c>
    </row>
    <row r="246" customHeight="1" spans="1:7">
      <c r="A246" s="3" t="str">
        <f>"1445"</f>
        <v>1445</v>
      </c>
      <c r="B246" s="3" t="s">
        <v>1083</v>
      </c>
      <c r="C246" s="3" t="str">
        <f>"文源街道"</f>
        <v>文源街道</v>
      </c>
      <c r="D246" s="3" t="str">
        <f>"状元坡社区"</f>
        <v>状元坡社区</v>
      </c>
      <c r="E246" s="3" t="str">
        <f t="shared" si="74"/>
        <v>140</v>
      </c>
      <c r="F246" s="3" t="str">
        <f t="shared" si="79"/>
        <v>100</v>
      </c>
      <c r="G246" s="3" t="str">
        <f t="shared" si="95"/>
        <v>一级</v>
      </c>
    </row>
    <row r="247" customHeight="1" spans="1:7">
      <c r="A247" s="3" t="str">
        <f>"1446"</f>
        <v>1446</v>
      </c>
      <c r="B247" s="3" t="s">
        <v>1084</v>
      </c>
      <c r="C247" s="3" t="str">
        <f>"赤岭路街道"</f>
        <v>赤岭路街道</v>
      </c>
      <c r="D247" s="3" t="str">
        <f>"猴子石社区"</f>
        <v>猴子石社区</v>
      </c>
      <c r="E247" s="3" t="str">
        <f t="shared" si="74"/>
        <v>140</v>
      </c>
      <c r="F247" s="3" t="str">
        <f t="shared" si="79"/>
        <v>100</v>
      </c>
      <c r="G247" s="3" t="str">
        <f t="shared" ref="G247:G252" si="96">"二级"</f>
        <v>二级</v>
      </c>
    </row>
    <row r="248" customHeight="1" spans="1:7">
      <c r="A248" s="3" t="str">
        <f>"1447"</f>
        <v>1447</v>
      </c>
      <c r="B248" s="3" t="s">
        <v>399</v>
      </c>
      <c r="C248" s="3" t="str">
        <f>"新开铺街道"</f>
        <v>新开铺街道</v>
      </c>
      <c r="D248" s="3" t="str">
        <f>"桥头社区"</f>
        <v>桥头社区</v>
      </c>
      <c r="E248" s="3" t="str">
        <f t="shared" si="74"/>
        <v>140</v>
      </c>
      <c r="F248" s="3" t="str">
        <f t="shared" si="79"/>
        <v>100</v>
      </c>
      <c r="G248" s="3" t="str">
        <f t="shared" si="96"/>
        <v>二级</v>
      </c>
    </row>
    <row r="249" customHeight="1" spans="1:7">
      <c r="A249" s="3" t="str">
        <f>"1448"</f>
        <v>1448</v>
      </c>
      <c r="B249" s="3" t="s">
        <v>1085</v>
      </c>
      <c r="C249" s="3" t="str">
        <f>"城南路街道"</f>
        <v>城南路街道</v>
      </c>
      <c r="D249" s="3" t="str">
        <f>"熙台岭社区"</f>
        <v>熙台岭社区</v>
      </c>
      <c r="E249" s="3" t="str">
        <f t="shared" si="74"/>
        <v>140</v>
      </c>
      <c r="F249" s="3" t="str">
        <f t="shared" si="79"/>
        <v>100</v>
      </c>
      <c r="G249" s="3" t="str">
        <f>"一级"</f>
        <v>一级</v>
      </c>
    </row>
    <row r="250" customHeight="1" spans="1:7">
      <c r="A250" s="3" t="str">
        <f>"1449"</f>
        <v>1449</v>
      </c>
      <c r="B250" s="3" t="s">
        <v>693</v>
      </c>
      <c r="C250" s="3" t="str">
        <f t="shared" ref="C250:C253" si="97">"裕南街街道"</f>
        <v>裕南街街道</v>
      </c>
      <c r="D250" s="3" t="str">
        <f>"石子冲社区"</f>
        <v>石子冲社区</v>
      </c>
      <c r="E250" s="3" t="str">
        <f t="shared" si="74"/>
        <v>140</v>
      </c>
      <c r="F250" s="3" t="str">
        <f t="shared" si="79"/>
        <v>100</v>
      </c>
      <c r="G250" s="3" t="str">
        <f t="shared" si="96"/>
        <v>二级</v>
      </c>
    </row>
    <row r="251" customHeight="1" spans="1:7">
      <c r="A251" s="3" t="str">
        <f>"1450"</f>
        <v>1450</v>
      </c>
      <c r="B251" s="3" t="s">
        <v>611</v>
      </c>
      <c r="C251" s="3" t="str">
        <f>"坡子街街道"</f>
        <v>坡子街街道</v>
      </c>
      <c r="D251" s="3" t="str">
        <f>"文庙坪社区"</f>
        <v>文庙坪社区</v>
      </c>
      <c r="E251" s="3" t="str">
        <f t="shared" si="74"/>
        <v>140</v>
      </c>
      <c r="F251" s="3" t="str">
        <f t="shared" si="79"/>
        <v>100</v>
      </c>
      <c r="G251" s="3" t="str">
        <f t="shared" si="96"/>
        <v>二级</v>
      </c>
    </row>
    <row r="252" customHeight="1" spans="1:7">
      <c r="A252" s="3" t="str">
        <f>"1451"</f>
        <v>1451</v>
      </c>
      <c r="B252" s="3" t="s">
        <v>1086</v>
      </c>
      <c r="C252" s="3" t="str">
        <f t="shared" si="97"/>
        <v>裕南街街道</v>
      </c>
      <c r="D252" s="3" t="str">
        <f>"宝塔山社区"</f>
        <v>宝塔山社区</v>
      </c>
      <c r="E252" s="3" t="str">
        <f t="shared" si="74"/>
        <v>140</v>
      </c>
      <c r="F252" s="3" t="str">
        <f t="shared" si="79"/>
        <v>100</v>
      </c>
      <c r="G252" s="3" t="str">
        <f t="shared" si="96"/>
        <v>二级</v>
      </c>
    </row>
    <row r="253" customHeight="1" spans="1:7">
      <c r="A253" s="3" t="str">
        <f>"1452"</f>
        <v>1452</v>
      </c>
      <c r="B253" s="3" t="s">
        <v>652</v>
      </c>
      <c r="C253" s="3" t="str">
        <f t="shared" si="97"/>
        <v>裕南街街道</v>
      </c>
      <c r="D253" s="3" t="str">
        <f>"长坡社区"</f>
        <v>长坡社区</v>
      </c>
      <c r="E253" s="3" t="str">
        <f t="shared" si="74"/>
        <v>140</v>
      </c>
      <c r="F253" s="3" t="str">
        <f t="shared" si="79"/>
        <v>100</v>
      </c>
      <c r="G253" s="3" t="str">
        <f>"一级"</f>
        <v>一级</v>
      </c>
    </row>
    <row r="254" customHeight="1" spans="1:7">
      <c r="A254" s="3" t="str">
        <f>"1453"</f>
        <v>1453</v>
      </c>
      <c r="B254" s="3" t="s">
        <v>1087</v>
      </c>
      <c r="C254" s="3" t="str">
        <f>"城南路街道"</f>
        <v>城南路街道</v>
      </c>
      <c r="D254" s="3" t="str">
        <f>"吴家坪社区"</f>
        <v>吴家坪社区</v>
      </c>
      <c r="E254" s="3" t="str">
        <f t="shared" si="74"/>
        <v>140</v>
      </c>
      <c r="F254" s="3" t="str">
        <f t="shared" si="79"/>
        <v>100</v>
      </c>
      <c r="G254" s="3" t="str">
        <f t="shared" ref="G254:G260" si="98">"二级"</f>
        <v>二级</v>
      </c>
    </row>
    <row r="255" customHeight="1" spans="1:7">
      <c r="A255" s="3" t="str">
        <f>"1454"</f>
        <v>1454</v>
      </c>
      <c r="B255" s="3" t="s">
        <v>1088</v>
      </c>
      <c r="C255" s="3" t="str">
        <f t="shared" ref="C255:C258" si="99">"裕南街街道"</f>
        <v>裕南街街道</v>
      </c>
      <c r="D255" s="3" t="str">
        <f>"南站社区"</f>
        <v>南站社区</v>
      </c>
      <c r="E255" s="3" t="str">
        <f t="shared" si="74"/>
        <v>140</v>
      </c>
      <c r="F255" s="3" t="str">
        <f t="shared" si="79"/>
        <v>100</v>
      </c>
      <c r="G255" s="3" t="str">
        <f t="shared" si="98"/>
        <v>二级</v>
      </c>
    </row>
    <row r="256" customHeight="1" spans="1:7">
      <c r="A256" s="3" t="str">
        <f>"1455"</f>
        <v>1455</v>
      </c>
      <c r="B256" s="3" t="s">
        <v>1089</v>
      </c>
      <c r="C256" s="3" t="str">
        <f t="shared" si="99"/>
        <v>裕南街街道</v>
      </c>
      <c r="D256" s="3" t="str">
        <f>"长坡社区"</f>
        <v>长坡社区</v>
      </c>
      <c r="E256" s="3" t="str">
        <f t="shared" si="74"/>
        <v>140</v>
      </c>
      <c r="F256" s="3" t="str">
        <f t="shared" si="79"/>
        <v>100</v>
      </c>
      <c r="G256" s="3" t="str">
        <f>"一级"</f>
        <v>一级</v>
      </c>
    </row>
    <row r="257" customHeight="1" spans="1:7">
      <c r="A257" s="3" t="str">
        <f>"1456"</f>
        <v>1456</v>
      </c>
      <c r="B257" s="3" t="s">
        <v>1090</v>
      </c>
      <c r="C257" s="3" t="str">
        <f>"赤岭路街道"</f>
        <v>赤岭路街道</v>
      </c>
      <c r="D257" s="3" t="str">
        <f>"新丰社区"</f>
        <v>新丰社区</v>
      </c>
      <c r="E257" s="3" t="str">
        <f t="shared" si="74"/>
        <v>140</v>
      </c>
      <c r="F257" s="3" t="str">
        <f t="shared" si="79"/>
        <v>100</v>
      </c>
      <c r="G257" s="3" t="str">
        <f t="shared" si="98"/>
        <v>二级</v>
      </c>
    </row>
    <row r="258" customHeight="1" spans="1:7">
      <c r="A258" s="3" t="str">
        <f>"1457"</f>
        <v>1457</v>
      </c>
      <c r="B258" s="3" t="s">
        <v>1091</v>
      </c>
      <c r="C258" s="3" t="str">
        <f t="shared" si="99"/>
        <v>裕南街街道</v>
      </c>
      <c r="D258" s="3" t="str">
        <f>"石子冲社区"</f>
        <v>石子冲社区</v>
      </c>
      <c r="E258" s="3" t="str">
        <f t="shared" ref="E258:E321" si="100">"140"</f>
        <v>140</v>
      </c>
      <c r="F258" s="3" t="str">
        <f t="shared" si="79"/>
        <v>100</v>
      </c>
      <c r="G258" s="3" t="str">
        <f t="shared" si="98"/>
        <v>二级</v>
      </c>
    </row>
    <row r="259" customHeight="1" spans="1:7">
      <c r="A259" s="3" t="str">
        <f>"1458"</f>
        <v>1458</v>
      </c>
      <c r="B259" s="3" t="s">
        <v>1092</v>
      </c>
      <c r="C259" s="3" t="str">
        <f>"坡子街街道"</f>
        <v>坡子街街道</v>
      </c>
      <c r="D259" s="3" t="str">
        <f>"青山祠社区"</f>
        <v>青山祠社区</v>
      </c>
      <c r="E259" s="3" t="str">
        <f t="shared" si="100"/>
        <v>140</v>
      </c>
      <c r="F259" s="3" t="str">
        <f t="shared" si="79"/>
        <v>100</v>
      </c>
      <c r="G259" s="3" t="str">
        <f t="shared" si="98"/>
        <v>二级</v>
      </c>
    </row>
    <row r="260" customHeight="1" spans="1:7">
      <c r="A260" s="3" t="str">
        <f>"1459"</f>
        <v>1459</v>
      </c>
      <c r="B260" s="3" t="s">
        <v>1093</v>
      </c>
      <c r="C260" s="3" t="str">
        <f>"城南路街道"</f>
        <v>城南路街道</v>
      </c>
      <c r="D260" s="3" t="str">
        <f>"天心阁社区"</f>
        <v>天心阁社区</v>
      </c>
      <c r="E260" s="3" t="str">
        <f t="shared" si="100"/>
        <v>140</v>
      </c>
      <c r="F260" s="3" t="str">
        <f t="shared" si="79"/>
        <v>100</v>
      </c>
      <c r="G260" s="3" t="str">
        <f t="shared" si="98"/>
        <v>二级</v>
      </c>
    </row>
    <row r="261" customHeight="1" spans="1:7">
      <c r="A261" s="3" t="str">
        <f>"1460"</f>
        <v>1460</v>
      </c>
      <c r="B261" s="3" t="s">
        <v>1045</v>
      </c>
      <c r="C261" s="3" t="str">
        <f>"坡子街街道"</f>
        <v>坡子街街道</v>
      </c>
      <c r="D261" s="3" t="str">
        <f>"西湖社区"</f>
        <v>西湖社区</v>
      </c>
      <c r="E261" s="3" t="str">
        <f t="shared" si="100"/>
        <v>140</v>
      </c>
      <c r="F261" s="3" t="str">
        <f t="shared" si="79"/>
        <v>100</v>
      </c>
      <c r="G261" s="3" t="str">
        <f t="shared" ref="G261:G264" si="101">"一级"</f>
        <v>一级</v>
      </c>
    </row>
    <row r="262" customHeight="1" spans="1:7">
      <c r="A262" s="3" t="str">
        <f>"1461"</f>
        <v>1461</v>
      </c>
      <c r="B262" s="3" t="s">
        <v>1094</v>
      </c>
      <c r="C262" s="3" t="str">
        <f t="shared" ref="C262:C269" si="102">"裕南街街道"</f>
        <v>裕南街街道</v>
      </c>
      <c r="D262" s="3" t="str">
        <f>"南站社区"</f>
        <v>南站社区</v>
      </c>
      <c r="E262" s="3" t="str">
        <f t="shared" si="100"/>
        <v>140</v>
      </c>
      <c r="F262" s="3" t="str">
        <f t="shared" si="79"/>
        <v>100</v>
      </c>
      <c r="G262" s="3" t="str">
        <f t="shared" ref="G262:G267" si="103">"二级"</f>
        <v>二级</v>
      </c>
    </row>
    <row r="263" customHeight="1" spans="1:7">
      <c r="A263" s="3" t="str">
        <f>"1462"</f>
        <v>1462</v>
      </c>
      <c r="B263" s="3" t="s">
        <v>1095</v>
      </c>
      <c r="C263" s="3" t="str">
        <f t="shared" si="102"/>
        <v>裕南街街道</v>
      </c>
      <c r="D263" s="3" t="str">
        <f>"向东南社区"</f>
        <v>向东南社区</v>
      </c>
      <c r="E263" s="3" t="str">
        <f t="shared" si="100"/>
        <v>140</v>
      </c>
      <c r="F263" s="3" t="str">
        <f t="shared" si="79"/>
        <v>100</v>
      </c>
      <c r="G263" s="3" t="str">
        <f t="shared" si="101"/>
        <v>一级</v>
      </c>
    </row>
    <row r="264" customHeight="1" spans="1:7">
      <c r="A264" s="3" t="str">
        <f>"1463"</f>
        <v>1463</v>
      </c>
      <c r="B264" s="3" t="s">
        <v>1096</v>
      </c>
      <c r="C264" s="3" t="str">
        <f>"城南路街道"</f>
        <v>城南路街道</v>
      </c>
      <c r="D264" s="3" t="str">
        <f>"燕子岭社区"</f>
        <v>燕子岭社区</v>
      </c>
      <c r="E264" s="3" t="str">
        <f t="shared" si="100"/>
        <v>140</v>
      </c>
      <c r="F264" s="3" t="str">
        <f t="shared" si="79"/>
        <v>100</v>
      </c>
      <c r="G264" s="3" t="str">
        <f t="shared" si="101"/>
        <v>一级</v>
      </c>
    </row>
    <row r="265" customHeight="1" spans="1:7">
      <c r="A265" s="3" t="str">
        <f>"1464"</f>
        <v>1464</v>
      </c>
      <c r="B265" s="3" t="s">
        <v>758</v>
      </c>
      <c r="C265" s="3" t="str">
        <f>"新开铺街道"</f>
        <v>新开铺街道</v>
      </c>
      <c r="D265" s="3" t="str">
        <f>"新开铺社区"</f>
        <v>新开铺社区</v>
      </c>
      <c r="E265" s="3" t="str">
        <f t="shared" si="100"/>
        <v>140</v>
      </c>
      <c r="F265" s="3" t="str">
        <f t="shared" si="79"/>
        <v>100</v>
      </c>
      <c r="G265" s="3" t="str">
        <f t="shared" si="103"/>
        <v>二级</v>
      </c>
    </row>
    <row r="266" customHeight="1" spans="1:7">
      <c r="A266" s="3" t="str">
        <f>"1465"</f>
        <v>1465</v>
      </c>
      <c r="B266" s="3" t="s">
        <v>1097</v>
      </c>
      <c r="C266" s="3" t="str">
        <f t="shared" si="102"/>
        <v>裕南街街道</v>
      </c>
      <c r="D266" s="3" t="str">
        <f>"裕南街社区"</f>
        <v>裕南街社区</v>
      </c>
      <c r="E266" s="3" t="str">
        <f t="shared" si="100"/>
        <v>140</v>
      </c>
      <c r="F266" s="3" t="str">
        <f t="shared" si="79"/>
        <v>100</v>
      </c>
      <c r="G266" s="3" t="str">
        <f t="shared" si="103"/>
        <v>二级</v>
      </c>
    </row>
    <row r="267" customHeight="1" spans="1:7">
      <c r="A267" s="3" t="str">
        <f>"1466"</f>
        <v>1466</v>
      </c>
      <c r="B267" s="3" t="s">
        <v>68</v>
      </c>
      <c r="C267" s="3" t="str">
        <f t="shared" si="102"/>
        <v>裕南街街道</v>
      </c>
      <c r="D267" s="3" t="str">
        <f>"东瓜山社区"</f>
        <v>东瓜山社区</v>
      </c>
      <c r="E267" s="3" t="str">
        <f t="shared" si="100"/>
        <v>140</v>
      </c>
      <c r="F267" s="3" t="str">
        <f t="shared" si="79"/>
        <v>100</v>
      </c>
      <c r="G267" s="3" t="str">
        <f t="shared" si="103"/>
        <v>二级</v>
      </c>
    </row>
    <row r="268" customHeight="1" spans="1:7">
      <c r="A268" s="3" t="str">
        <f>"1467"</f>
        <v>1467</v>
      </c>
      <c r="B268" s="3" t="s">
        <v>1098</v>
      </c>
      <c r="C268" s="3" t="str">
        <f t="shared" si="102"/>
        <v>裕南街街道</v>
      </c>
      <c r="D268" s="3" t="str">
        <f>"石子冲社区"</f>
        <v>石子冲社区</v>
      </c>
      <c r="E268" s="3" t="str">
        <f t="shared" si="100"/>
        <v>140</v>
      </c>
      <c r="F268" s="3" t="str">
        <f t="shared" si="79"/>
        <v>100</v>
      </c>
      <c r="G268" s="3" t="str">
        <f t="shared" ref="G268:G270" si="104">"一级"</f>
        <v>一级</v>
      </c>
    </row>
    <row r="269" customHeight="1" spans="1:7">
      <c r="A269" s="3" t="str">
        <f>"1468"</f>
        <v>1468</v>
      </c>
      <c r="B269" s="3" t="s">
        <v>1099</v>
      </c>
      <c r="C269" s="3" t="str">
        <f t="shared" si="102"/>
        <v>裕南街街道</v>
      </c>
      <c r="D269" s="3" t="str">
        <f>"仰天湖社区"</f>
        <v>仰天湖社区</v>
      </c>
      <c r="E269" s="3" t="str">
        <f t="shared" si="100"/>
        <v>140</v>
      </c>
      <c r="F269" s="3" t="str">
        <f t="shared" ref="F269:F317" si="105">"100"</f>
        <v>100</v>
      </c>
      <c r="G269" s="3" t="str">
        <f t="shared" si="104"/>
        <v>一级</v>
      </c>
    </row>
    <row r="270" customHeight="1" spans="1:7">
      <c r="A270" s="3" t="str">
        <f>"1469"</f>
        <v>1469</v>
      </c>
      <c r="B270" s="3" t="s">
        <v>1100</v>
      </c>
      <c r="C270" s="3" t="str">
        <f>"坡子街街道"</f>
        <v>坡子街街道</v>
      </c>
      <c r="D270" s="3" t="str">
        <f>"西湖社区"</f>
        <v>西湖社区</v>
      </c>
      <c r="E270" s="3" t="str">
        <f t="shared" si="100"/>
        <v>140</v>
      </c>
      <c r="F270" s="3" t="str">
        <f t="shared" si="105"/>
        <v>100</v>
      </c>
      <c r="G270" s="3" t="str">
        <f t="shared" si="104"/>
        <v>一级</v>
      </c>
    </row>
    <row r="271" customHeight="1" spans="1:7">
      <c r="A271" s="3" t="str">
        <f>"1470"</f>
        <v>1470</v>
      </c>
      <c r="B271" s="3" t="s">
        <v>1101</v>
      </c>
      <c r="C271" s="3" t="str">
        <f>"新开铺街道"</f>
        <v>新开铺街道</v>
      </c>
      <c r="D271" s="3" t="str">
        <f>"新开铺社区"</f>
        <v>新开铺社区</v>
      </c>
      <c r="E271" s="3" t="str">
        <f t="shared" si="100"/>
        <v>140</v>
      </c>
      <c r="F271" s="3" t="str">
        <f t="shared" si="105"/>
        <v>100</v>
      </c>
      <c r="G271" s="3" t="str">
        <f t="shared" ref="G271:G274" si="106">"二级"</f>
        <v>二级</v>
      </c>
    </row>
    <row r="272" customHeight="1" spans="1:7">
      <c r="A272" s="3" t="str">
        <f>"1471"</f>
        <v>1471</v>
      </c>
      <c r="B272" s="3" t="s">
        <v>1102</v>
      </c>
      <c r="C272" s="3" t="str">
        <f>"赤岭路街道"</f>
        <v>赤岭路街道</v>
      </c>
      <c r="D272" s="3" t="str">
        <f>"广厦新村社区"</f>
        <v>广厦新村社区</v>
      </c>
      <c r="E272" s="3" t="str">
        <f t="shared" si="100"/>
        <v>140</v>
      </c>
      <c r="F272" s="3" t="str">
        <f t="shared" si="105"/>
        <v>100</v>
      </c>
      <c r="G272" s="3" t="str">
        <f t="shared" si="106"/>
        <v>二级</v>
      </c>
    </row>
    <row r="273" customHeight="1" spans="1:7">
      <c r="A273" s="3" t="str">
        <f>"1472"</f>
        <v>1472</v>
      </c>
      <c r="B273" s="3" t="s">
        <v>1103</v>
      </c>
      <c r="C273" s="3" t="str">
        <f>"赤岭路街道"</f>
        <v>赤岭路街道</v>
      </c>
      <c r="D273" s="3" t="str">
        <f>"新丰社区"</f>
        <v>新丰社区</v>
      </c>
      <c r="E273" s="3" t="str">
        <f t="shared" si="100"/>
        <v>140</v>
      </c>
      <c r="F273" s="3" t="str">
        <f t="shared" si="105"/>
        <v>100</v>
      </c>
      <c r="G273" s="3" t="str">
        <f t="shared" ref="G273:G278" si="107">"一级"</f>
        <v>一级</v>
      </c>
    </row>
    <row r="274" customHeight="1" spans="1:7">
      <c r="A274" s="3" t="str">
        <f>"1473"</f>
        <v>1473</v>
      </c>
      <c r="B274" s="3" t="s">
        <v>1104</v>
      </c>
      <c r="C274" s="3" t="str">
        <f>"金盆岭街道"</f>
        <v>金盆岭街道</v>
      </c>
      <c r="D274" s="3" t="str">
        <f>"狮子山社区"</f>
        <v>狮子山社区</v>
      </c>
      <c r="E274" s="3" t="str">
        <f t="shared" si="100"/>
        <v>140</v>
      </c>
      <c r="F274" s="3" t="str">
        <f t="shared" si="105"/>
        <v>100</v>
      </c>
      <c r="G274" s="3" t="str">
        <f t="shared" si="106"/>
        <v>二级</v>
      </c>
    </row>
    <row r="275" customHeight="1" spans="1:7">
      <c r="A275" s="3" t="str">
        <f>"1474"</f>
        <v>1474</v>
      </c>
      <c r="B275" s="3" t="s">
        <v>1105</v>
      </c>
      <c r="C275" s="3" t="str">
        <f>"坡子街街道"</f>
        <v>坡子街街道</v>
      </c>
      <c r="D275" s="3" t="str">
        <f>"碧湘社区"</f>
        <v>碧湘社区</v>
      </c>
      <c r="E275" s="3" t="str">
        <f t="shared" si="100"/>
        <v>140</v>
      </c>
      <c r="F275" s="3" t="str">
        <f t="shared" si="105"/>
        <v>100</v>
      </c>
      <c r="G275" s="3" t="str">
        <f t="shared" si="107"/>
        <v>一级</v>
      </c>
    </row>
    <row r="276" customHeight="1" spans="1:7">
      <c r="A276" s="3" t="str">
        <f>"1475"</f>
        <v>1475</v>
      </c>
      <c r="B276" s="3" t="s">
        <v>1106</v>
      </c>
      <c r="C276" s="3" t="str">
        <f>"城南路街道"</f>
        <v>城南路街道</v>
      </c>
      <c r="D276" s="3" t="str">
        <f>"熙台岭社区"</f>
        <v>熙台岭社区</v>
      </c>
      <c r="E276" s="3" t="str">
        <f t="shared" si="100"/>
        <v>140</v>
      </c>
      <c r="F276" s="3" t="str">
        <f t="shared" si="105"/>
        <v>100</v>
      </c>
      <c r="G276" s="3" t="str">
        <f>"二级"</f>
        <v>二级</v>
      </c>
    </row>
    <row r="277" customHeight="1" spans="1:7">
      <c r="A277" s="3" t="str">
        <f>"1476"</f>
        <v>1476</v>
      </c>
      <c r="B277" s="3" t="s">
        <v>1107</v>
      </c>
      <c r="C277" s="3" t="str">
        <f>"裕南街街道"</f>
        <v>裕南街街道</v>
      </c>
      <c r="D277" s="3" t="str">
        <f>"宝塔山社区"</f>
        <v>宝塔山社区</v>
      </c>
      <c r="E277" s="3" t="str">
        <f t="shared" si="100"/>
        <v>140</v>
      </c>
      <c r="F277" s="3" t="str">
        <f t="shared" si="105"/>
        <v>100</v>
      </c>
      <c r="G277" s="3" t="str">
        <f t="shared" si="107"/>
        <v>一级</v>
      </c>
    </row>
    <row r="278" customHeight="1" spans="1:7">
      <c r="A278" s="3" t="str">
        <f>"1477"</f>
        <v>1477</v>
      </c>
      <c r="B278" s="3" t="s">
        <v>1108</v>
      </c>
      <c r="C278" s="3" t="str">
        <f>"金盆岭街道"</f>
        <v>金盆岭街道</v>
      </c>
      <c r="D278" s="3" t="str">
        <f>"涂新社区"</f>
        <v>涂新社区</v>
      </c>
      <c r="E278" s="3" t="str">
        <f t="shared" si="100"/>
        <v>140</v>
      </c>
      <c r="F278" s="3" t="str">
        <f t="shared" si="105"/>
        <v>100</v>
      </c>
      <c r="G278" s="3" t="str">
        <f t="shared" si="107"/>
        <v>一级</v>
      </c>
    </row>
    <row r="279" customHeight="1" spans="1:7">
      <c r="A279" s="3" t="str">
        <f>"1478"</f>
        <v>1478</v>
      </c>
      <c r="B279" s="3" t="s">
        <v>1109</v>
      </c>
      <c r="C279" s="3" t="str">
        <f>"城南路街道"</f>
        <v>城南路街道</v>
      </c>
      <c r="D279" s="3" t="str">
        <f>"古道巷社区"</f>
        <v>古道巷社区</v>
      </c>
      <c r="E279" s="3" t="str">
        <f t="shared" si="100"/>
        <v>140</v>
      </c>
      <c r="F279" s="3" t="str">
        <f t="shared" si="105"/>
        <v>100</v>
      </c>
      <c r="G279" s="3" t="str">
        <f t="shared" ref="G279:G285" si="108">"二级"</f>
        <v>二级</v>
      </c>
    </row>
    <row r="280" customHeight="1" spans="1:7">
      <c r="A280" s="3" t="str">
        <f>"1479"</f>
        <v>1479</v>
      </c>
      <c r="B280" s="3" t="s">
        <v>149</v>
      </c>
      <c r="C280" s="3" t="str">
        <f>"裕南街街道"</f>
        <v>裕南街街道</v>
      </c>
      <c r="D280" s="3" t="str">
        <f>"长坡社区"</f>
        <v>长坡社区</v>
      </c>
      <c r="E280" s="3" t="str">
        <f t="shared" si="100"/>
        <v>140</v>
      </c>
      <c r="F280" s="3" t="str">
        <f t="shared" si="105"/>
        <v>100</v>
      </c>
      <c r="G280" s="3" t="str">
        <f t="shared" ref="G280:G283" si="109">"一级"</f>
        <v>一级</v>
      </c>
    </row>
    <row r="281" customHeight="1" spans="1:7">
      <c r="A281" s="3" t="str">
        <f>"1480"</f>
        <v>1480</v>
      </c>
      <c r="B281" s="3" t="s">
        <v>532</v>
      </c>
      <c r="C281" s="3" t="str">
        <f>"新开铺街道"</f>
        <v>新开铺街道</v>
      </c>
      <c r="D281" s="3" t="str">
        <f>"新开铺社区"</f>
        <v>新开铺社区</v>
      </c>
      <c r="E281" s="3" t="str">
        <f t="shared" si="100"/>
        <v>140</v>
      </c>
      <c r="F281" s="3" t="str">
        <f t="shared" si="105"/>
        <v>100</v>
      </c>
      <c r="G281" s="3" t="str">
        <f t="shared" si="109"/>
        <v>一级</v>
      </c>
    </row>
    <row r="282" customHeight="1" spans="1:7">
      <c r="A282" s="3" t="str">
        <f>"1481"</f>
        <v>1481</v>
      </c>
      <c r="B282" s="3" t="s">
        <v>1110</v>
      </c>
      <c r="C282" s="3" t="str">
        <f>"文源街道"</f>
        <v>文源街道</v>
      </c>
      <c r="D282" s="3" t="str">
        <f>"梅岭社区"</f>
        <v>梅岭社区</v>
      </c>
      <c r="E282" s="3" t="str">
        <f t="shared" si="100"/>
        <v>140</v>
      </c>
      <c r="F282" s="3" t="str">
        <f t="shared" si="105"/>
        <v>100</v>
      </c>
      <c r="G282" s="3" t="str">
        <f t="shared" si="108"/>
        <v>二级</v>
      </c>
    </row>
    <row r="283" customHeight="1" spans="1:7">
      <c r="A283" s="3" t="str">
        <f>"1482"</f>
        <v>1482</v>
      </c>
      <c r="B283" s="3" t="s">
        <v>462</v>
      </c>
      <c r="C283" s="3" t="str">
        <f>"金盆岭街道"</f>
        <v>金盆岭街道</v>
      </c>
      <c r="D283" s="3" t="str">
        <f>"黄土岭社区"</f>
        <v>黄土岭社区</v>
      </c>
      <c r="E283" s="3" t="str">
        <f t="shared" si="100"/>
        <v>140</v>
      </c>
      <c r="F283" s="3" t="str">
        <f t="shared" si="105"/>
        <v>100</v>
      </c>
      <c r="G283" s="3" t="str">
        <f t="shared" si="109"/>
        <v>一级</v>
      </c>
    </row>
    <row r="284" customHeight="1" spans="1:7">
      <c r="A284" s="3" t="str">
        <f>"1483"</f>
        <v>1483</v>
      </c>
      <c r="B284" s="3" t="s">
        <v>76</v>
      </c>
      <c r="C284" s="3" t="str">
        <f>"青园街道"</f>
        <v>青园街道</v>
      </c>
      <c r="D284" s="3" t="str">
        <f>"井湾子社区"</f>
        <v>井湾子社区</v>
      </c>
      <c r="E284" s="3" t="str">
        <f t="shared" si="100"/>
        <v>140</v>
      </c>
      <c r="F284" s="3" t="str">
        <f t="shared" si="105"/>
        <v>100</v>
      </c>
      <c r="G284" s="3" t="str">
        <f t="shared" si="108"/>
        <v>二级</v>
      </c>
    </row>
    <row r="285" customHeight="1" spans="1:7">
      <c r="A285" s="3" t="str">
        <f>"1484"</f>
        <v>1484</v>
      </c>
      <c r="B285" s="3" t="s">
        <v>872</v>
      </c>
      <c r="C285" s="3" t="str">
        <f>"赤岭路街道"</f>
        <v>赤岭路街道</v>
      </c>
      <c r="D285" s="3" t="str">
        <f>"广厦新村社区"</f>
        <v>广厦新村社区</v>
      </c>
      <c r="E285" s="3" t="str">
        <f t="shared" si="100"/>
        <v>140</v>
      </c>
      <c r="F285" s="3" t="str">
        <f t="shared" si="105"/>
        <v>100</v>
      </c>
      <c r="G285" s="3" t="str">
        <f t="shared" si="108"/>
        <v>二级</v>
      </c>
    </row>
    <row r="286" customHeight="1" spans="1:7">
      <c r="A286" s="3" t="str">
        <f>"1485"</f>
        <v>1485</v>
      </c>
      <c r="B286" s="3" t="s">
        <v>1111</v>
      </c>
      <c r="C286" s="3" t="str">
        <f>"裕南街街道"</f>
        <v>裕南街街道</v>
      </c>
      <c r="D286" s="3" t="str">
        <f>"火把山社区"</f>
        <v>火把山社区</v>
      </c>
      <c r="E286" s="3" t="str">
        <f t="shared" si="100"/>
        <v>140</v>
      </c>
      <c r="F286" s="3" t="str">
        <f t="shared" si="105"/>
        <v>100</v>
      </c>
      <c r="G286" s="3" t="str">
        <f t="shared" ref="G286:G290" si="110">"一级"</f>
        <v>一级</v>
      </c>
    </row>
    <row r="287" customHeight="1" spans="1:7">
      <c r="A287" s="3" t="str">
        <f>"1486"</f>
        <v>1486</v>
      </c>
      <c r="B287" s="3" t="s">
        <v>364</v>
      </c>
      <c r="C287" s="3" t="str">
        <f>"裕南街街道"</f>
        <v>裕南街街道</v>
      </c>
      <c r="D287" s="3" t="str">
        <f>"向东南社区"</f>
        <v>向东南社区</v>
      </c>
      <c r="E287" s="3" t="str">
        <f t="shared" si="100"/>
        <v>140</v>
      </c>
      <c r="F287" s="3" t="str">
        <f t="shared" si="105"/>
        <v>100</v>
      </c>
      <c r="G287" s="3" t="str">
        <f t="shared" si="110"/>
        <v>一级</v>
      </c>
    </row>
    <row r="288" customHeight="1" spans="1:7">
      <c r="A288" s="3" t="str">
        <f>"1487"</f>
        <v>1487</v>
      </c>
      <c r="B288" s="3" t="s">
        <v>1112</v>
      </c>
      <c r="C288" s="3" t="str">
        <f>"金盆岭街道"</f>
        <v>金盆岭街道</v>
      </c>
      <c r="D288" s="3" t="str">
        <f>"天剑社区"</f>
        <v>天剑社区</v>
      </c>
      <c r="E288" s="3" t="str">
        <f t="shared" si="100"/>
        <v>140</v>
      </c>
      <c r="F288" s="3" t="str">
        <f t="shared" si="105"/>
        <v>100</v>
      </c>
      <c r="G288" s="3" t="str">
        <f t="shared" si="110"/>
        <v>一级</v>
      </c>
    </row>
    <row r="289" customHeight="1" spans="1:7">
      <c r="A289" s="3" t="str">
        <f>"1488"</f>
        <v>1488</v>
      </c>
      <c r="B289" s="3" t="s">
        <v>1113</v>
      </c>
      <c r="C289" s="3" t="str">
        <f>"坡子街街道"</f>
        <v>坡子街街道</v>
      </c>
      <c r="D289" s="3" t="str">
        <f>"文庙坪社区"</f>
        <v>文庙坪社区</v>
      </c>
      <c r="E289" s="3" t="str">
        <f t="shared" si="100"/>
        <v>140</v>
      </c>
      <c r="F289" s="3" t="str">
        <f t="shared" si="105"/>
        <v>100</v>
      </c>
      <c r="G289" s="3" t="str">
        <f t="shared" si="110"/>
        <v>一级</v>
      </c>
    </row>
    <row r="290" customHeight="1" spans="1:7">
      <c r="A290" s="3" t="str">
        <f>"1489"</f>
        <v>1489</v>
      </c>
      <c r="B290" s="3" t="s">
        <v>1114</v>
      </c>
      <c r="C290" s="3" t="str">
        <f>"赤岭路街道"</f>
        <v>赤岭路街道</v>
      </c>
      <c r="D290" s="3" t="str">
        <f>"南大桥社区"</f>
        <v>南大桥社区</v>
      </c>
      <c r="E290" s="3" t="str">
        <f t="shared" si="100"/>
        <v>140</v>
      </c>
      <c r="F290" s="3" t="str">
        <f t="shared" si="105"/>
        <v>100</v>
      </c>
      <c r="G290" s="3" t="str">
        <f t="shared" si="110"/>
        <v>一级</v>
      </c>
    </row>
    <row r="291" customHeight="1" spans="1:7">
      <c r="A291" s="3" t="str">
        <f>"1490"</f>
        <v>1490</v>
      </c>
      <c r="B291" s="3" t="s">
        <v>1115</v>
      </c>
      <c r="C291" s="3" t="str">
        <f>"金盆岭街道"</f>
        <v>金盆岭街道</v>
      </c>
      <c r="D291" s="3" t="str">
        <f>"狮子山社区"</f>
        <v>狮子山社区</v>
      </c>
      <c r="E291" s="3" t="str">
        <f t="shared" si="100"/>
        <v>140</v>
      </c>
      <c r="F291" s="3" t="str">
        <f t="shared" si="105"/>
        <v>100</v>
      </c>
      <c r="G291" s="3" t="str">
        <f>"二级"</f>
        <v>二级</v>
      </c>
    </row>
    <row r="292" customHeight="1" spans="1:7">
      <c r="A292" s="3" t="str">
        <f>"1491"</f>
        <v>1491</v>
      </c>
      <c r="B292" s="3" t="s">
        <v>1116</v>
      </c>
      <c r="C292" s="3" t="str">
        <f>"裕南街街道"</f>
        <v>裕南街街道</v>
      </c>
      <c r="D292" s="3" t="str">
        <f>"裕南街社区"</f>
        <v>裕南街社区</v>
      </c>
      <c r="E292" s="3" t="str">
        <f t="shared" si="100"/>
        <v>140</v>
      </c>
      <c r="F292" s="3" t="str">
        <f t="shared" si="105"/>
        <v>100</v>
      </c>
      <c r="G292" s="3" t="str">
        <f t="shared" ref="G292:G295" si="111">"一级"</f>
        <v>一级</v>
      </c>
    </row>
    <row r="293" customHeight="1" spans="1:7">
      <c r="A293" s="3" t="str">
        <f>"1492"</f>
        <v>1492</v>
      </c>
      <c r="B293" s="3" t="s">
        <v>1117</v>
      </c>
      <c r="C293" s="3" t="str">
        <f>"新开铺街道"</f>
        <v>新开铺街道</v>
      </c>
      <c r="D293" s="3" t="str">
        <f>"新开铺社区"</f>
        <v>新开铺社区</v>
      </c>
      <c r="E293" s="3" t="str">
        <f t="shared" si="100"/>
        <v>140</v>
      </c>
      <c r="F293" s="3" t="str">
        <f t="shared" si="105"/>
        <v>100</v>
      </c>
      <c r="G293" s="3" t="str">
        <f t="shared" si="111"/>
        <v>一级</v>
      </c>
    </row>
    <row r="294" customHeight="1" spans="1:7">
      <c r="A294" s="3" t="str">
        <f>"1493"</f>
        <v>1493</v>
      </c>
      <c r="B294" s="3" t="s">
        <v>1118</v>
      </c>
      <c r="C294" s="3" t="str">
        <f>"城南路街道"</f>
        <v>城南路街道</v>
      </c>
      <c r="D294" s="3" t="str">
        <f>"熙台岭社区"</f>
        <v>熙台岭社区</v>
      </c>
      <c r="E294" s="3" t="str">
        <f t="shared" si="100"/>
        <v>140</v>
      </c>
      <c r="F294" s="3" t="str">
        <f t="shared" si="105"/>
        <v>100</v>
      </c>
      <c r="G294" s="3" t="str">
        <f t="shared" si="111"/>
        <v>一级</v>
      </c>
    </row>
    <row r="295" customHeight="1" spans="1:7">
      <c r="A295" s="3" t="str">
        <f>"1494"</f>
        <v>1494</v>
      </c>
      <c r="B295" s="3" t="s">
        <v>1119</v>
      </c>
      <c r="C295" s="3" t="str">
        <f>"裕南街街道"</f>
        <v>裕南街街道</v>
      </c>
      <c r="D295" s="3" t="str">
        <f>"宝塔山社区"</f>
        <v>宝塔山社区</v>
      </c>
      <c r="E295" s="3" t="str">
        <f t="shared" si="100"/>
        <v>140</v>
      </c>
      <c r="F295" s="3" t="str">
        <f t="shared" si="105"/>
        <v>100</v>
      </c>
      <c r="G295" s="3" t="str">
        <f t="shared" si="111"/>
        <v>一级</v>
      </c>
    </row>
    <row r="296" customHeight="1" spans="1:7">
      <c r="A296" s="3" t="str">
        <f>"1495"</f>
        <v>1495</v>
      </c>
      <c r="B296" s="3" t="s">
        <v>1120</v>
      </c>
      <c r="C296" s="3" t="str">
        <f>"新开铺街道"</f>
        <v>新开铺街道</v>
      </c>
      <c r="D296" s="3" t="str">
        <f>"桥头社区"</f>
        <v>桥头社区</v>
      </c>
      <c r="E296" s="3" t="str">
        <f t="shared" si="100"/>
        <v>140</v>
      </c>
      <c r="F296" s="3" t="str">
        <f t="shared" si="105"/>
        <v>100</v>
      </c>
      <c r="G296" s="3" t="str">
        <f t="shared" ref="G296:G300" si="112">"二级"</f>
        <v>二级</v>
      </c>
    </row>
    <row r="297" customHeight="1" spans="1:7">
      <c r="A297" s="3" t="str">
        <f>"1496"</f>
        <v>1496</v>
      </c>
      <c r="B297" s="3" t="s">
        <v>52</v>
      </c>
      <c r="C297" s="3" t="str">
        <f>"城南路街道"</f>
        <v>城南路街道</v>
      </c>
      <c r="D297" s="3" t="str">
        <f>"天心阁社区"</f>
        <v>天心阁社区</v>
      </c>
      <c r="E297" s="3" t="str">
        <f t="shared" si="100"/>
        <v>140</v>
      </c>
      <c r="F297" s="3" t="str">
        <f t="shared" si="105"/>
        <v>100</v>
      </c>
      <c r="G297" s="3" t="str">
        <f t="shared" ref="G297:G301" si="113">"一级"</f>
        <v>一级</v>
      </c>
    </row>
    <row r="298" customHeight="1" spans="1:7">
      <c r="A298" s="3" t="str">
        <f>"1497"</f>
        <v>1497</v>
      </c>
      <c r="B298" s="3" t="s">
        <v>1121</v>
      </c>
      <c r="C298" s="3" t="str">
        <f>"金盆岭街道"</f>
        <v>金盆岭街道</v>
      </c>
      <c r="D298" s="3" t="str">
        <f>"赤岭路社区"</f>
        <v>赤岭路社区</v>
      </c>
      <c r="E298" s="3" t="str">
        <f t="shared" si="100"/>
        <v>140</v>
      </c>
      <c r="F298" s="3" t="str">
        <f t="shared" si="105"/>
        <v>100</v>
      </c>
      <c r="G298" s="3" t="str">
        <f t="shared" si="112"/>
        <v>二级</v>
      </c>
    </row>
    <row r="299" customHeight="1" spans="1:7">
      <c r="A299" s="3" t="str">
        <f>"1498"</f>
        <v>1498</v>
      </c>
      <c r="B299" s="3" t="s">
        <v>1122</v>
      </c>
      <c r="C299" s="3" t="str">
        <f t="shared" ref="C299:C302" si="114">"裕南街街道"</f>
        <v>裕南街街道</v>
      </c>
      <c r="D299" s="3" t="str">
        <f>"石子冲社区"</f>
        <v>石子冲社区</v>
      </c>
      <c r="E299" s="3" t="str">
        <f t="shared" si="100"/>
        <v>140</v>
      </c>
      <c r="F299" s="3" t="str">
        <f t="shared" si="105"/>
        <v>100</v>
      </c>
      <c r="G299" s="3" t="str">
        <f t="shared" si="113"/>
        <v>一级</v>
      </c>
    </row>
    <row r="300" customHeight="1" spans="1:7">
      <c r="A300" s="3" t="str">
        <f>"1499"</f>
        <v>1499</v>
      </c>
      <c r="B300" s="3" t="s">
        <v>1088</v>
      </c>
      <c r="C300" s="3" t="str">
        <f>"坡子街街道"</f>
        <v>坡子街街道</v>
      </c>
      <c r="D300" s="3" t="str">
        <f>"碧湘社区"</f>
        <v>碧湘社区</v>
      </c>
      <c r="E300" s="3" t="str">
        <f t="shared" si="100"/>
        <v>140</v>
      </c>
      <c r="F300" s="3" t="str">
        <f t="shared" si="105"/>
        <v>100</v>
      </c>
      <c r="G300" s="3" t="str">
        <f t="shared" si="112"/>
        <v>二级</v>
      </c>
    </row>
    <row r="301" customHeight="1" spans="1:7">
      <c r="A301" s="3" t="str">
        <f>"1500"</f>
        <v>1500</v>
      </c>
      <c r="B301" s="3" t="s">
        <v>1123</v>
      </c>
      <c r="C301" s="3" t="str">
        <f t="shared" si="114"/>
        <v>裕南街街道</v>
      </c>
      <c r="D301" s="3" t="str">
        <f>"东瓜山社区"</f>
        <v>东瓜山社区</v>
      </c>
      <c r="E301" s="3" t="str">
        <f t="shared" si="100"/>
        <v>140</v>
      </c>
      <c r="F301" s="3" t="str">
        <f t="shared" si="105"/>
        <v>100</v>
      </c>
      <c r="G301" s="3" t="str">
        <f t="shared" si="113"/>
        <v>一级</v>
      </c>
    </row>
    <row r="302" customHeight="1" spans="1:7">
      <c r="A302" s="3" t="str">
        <f>"1501"</f>
        <v>1501</v>
      </c>
      <c r="B302" s="3" t="s">
        <v>130</v>
      </c>
      <c r="C302" s="3" t="str">
        <f t="shared" si="114"/>
        <v>裕南街街道</v>
      </c>
      <c r="D302" s="3" t="str">
        <f>"碧沙湖社区"</f>
        <v>碧沙湖社区</v>
      </c>
      <c r="E302" s="3" t="str">
        <f t="shared" si="100"/>
        <v>140</v>
      </c>
      <c r="F302" s="3" t="str">
        <f t="shared" si="105"/>
        <v>100</v>
      </c>
      <c r="G302" s="3" t="str">
        <f t="shared" ref="G302:G304" si="115">"二级"</f>
        <v>二级</v>
      </c>
    </row>
    <row r="303" customHeight="1" spans="1:7">
      <c r="A303" s="3" t="str">
        <f>"1502"</f>
        <v>1502</v>
      </c>
      <c r="B303" s="3" t="s">
        <v>1124</v>
      </c>
      <c r="C303" s="3" t="str">
        <f>"金盆岭街道"</f>
        <v>金盆岭街道</v>
      </c>
      <c r="D303" s="3" t="str">
        <f>"夏家冲社区"</f>
        <v>夏家冲社区</v>
      </c>
      <c r="E303" s="3" t="str">
        <f t="shared" si="100"/>
        <v>140</v>
      </c>
      <c r="F303" s="3" t="str">
        <f t="shared" si="105"/>
        <v>100</v>
      </c>
      <c r="G303" s="3" t="str">
        <f t="shared" si="115"/>
        <v>二级</v>
      </c>
    </row>
    <row r="304" customHeight="1" spans="1:7">
      <c r="A304" s="3" t="str">
        <f>"1503"</f>
        <v>1503</v>
      </c>
      <c r="B304" s="3" t="s">
        <v>1125</v>
      </c>
      <c r="C304" s="3" t="str">
        <f>"青园街道"</f>
        <v>青园街道</v>
      </c>
      <c r="D304" s="3" t="str">
        <f>"青园社区"</f>
        <v>青园社区</v>
      </c>
      <c r="E304" s="3" t="str">
        <f t="shared" si="100"/>
        <v>140</v>
      </c>
      <c r="F304" s="3" t="str">
        <f t="shared" si="105"/>
        <v>100</v>
      </c>
      <c r="G304" s="3" t="str">
        <f t="shared" si="115"/>
        <v>二级</v>
      </c>
    </row>
    <row r="305" customHeight="1" spans="1:7">
      <c r="A305" s="3" t="str">
        <f>"1504"</f>
        <v>1504</v>
      </c>
      <c r="B305" s="3" t="s">
        <v>1126</v>
      </c>
      <c r="C305" s="3" t="str">
        <f>"城南路街道"</f>
        <v>城南路街道</v>
      </c>
      <c r="D305" s="3" t="str">
        <f>"古道巷社区"</f>
        <v>古道巷社区</v>
      </c>
      <c r="E305" s="3" t="str">
        <f t="shared" si="100"/>
        <v>140</v>
      </c>
      <c r="F305" s="3" t="str">
        <f t="shared" si="105"/>
        <v>100</v>
      </c>
      <c r="G305" s="3" t="str">
        <f t="shared" ref="G305:G308" si="116">"一级"</f>
        <v>一级</v>
      </c>
    </row>
    <row r="306" customHeight="1" spans="1:7">
      <c r="A306" s="3" t="str">
        <f>"1505"</f>
        <v>1505</v>
      </c>
      <c r="B306" s="3" t="s">
        <v>1127</v>
      </c>
      <c r="C306" s="3" t="str">
        <f>"坡子街街道"</f>
        <v>坡子街街道</v>
      </c>
      <c r="D306" s="3" t="str">
        <f>"创远社区"</f>
        <v>创远社区</v>
      </c>
      <c r="E306" s="3" t="str">
        <f t="shared" si="100"/>
        <v>140</v>
      </c>
      <c r="F306" s="3" t="str">
        <f t="shared" si="105"/>
        <v>100</v>
      </c>
      <c r="G306" s="3" t="str">
        <f t="shared" si="116"/>
        <v>一级</v>
      </c>
    </row>
    <row r="307" customHeight="1" spans="1:7">
      <c r="A307" s="3" t="str">
        <f>"1506"</f>
        <v>1506</v>
      </c>
      <c r="B307" s="3" t="s">
        <v>1128</v>
      </c>
      <c r="C307" s="3" t="str">
        <f>"裕南街街道"</f>
        <v>裕南街街道</v>
      </c>
      <c r="D307" s="3" t="str">
        <f>"向东南社区"</f>
        <v>向东南社区</v>
      </c>
      <c r="E307" s="3" t="str">
        <f t="shared" si="100"/>
        <v>140</v>
      </c>
      <c r="F307" s="3" t="str">
        <f t="shared" si="105"/>
        <v>100</v>
      </c>
      <c r="G307" s="3" t="str">
        <f t="shared" si="116"/>
        <v>一级</v>
      </c>
    </row>
    <row r="308" customHeight="1" spans="1:7">
      <c r="A308" s="3" t="str">
        <f>"1507"</f>
        <v>1507</v>
      </c>
      <c r="B308" s="3" t="s">
        <v>80</v>
      </c>
      <c r="C308" s="3" t="str">
        <f>"坡子街街道"</f>
        <v>坡子街街道</v>
      </c>
      <c r="D308" s="3" t="str">
        <f>"青山祠社区"</f>
        <v>青山祠社区</v>
      </c>
      <c r="E308" s="3" t="str">
        <f t="shared" si="100"/>
        <v>140</v>
      </c>
      <c r="F308" s="3" t="str">
        <f t="shared" si="105"/>
        <v>100</v>
      </c>
      <c r="G308" s="3" t="str">
        <f t="shared" si="116"/>
        <v>一级</v>
      </c>
    </row>
    <row r="309" customHeight="1" spans="1:7">
      <c r="A309" s="3" t="str">
        <f>"1508"</f>
        <v>1508</v>
      </c>
      <c r="B309" s="3" t="s">
        <v>1129</v>
      </c>
      <c r="C309" s="3" t="str">
        <f>"城南路街道"</f>
        <v>城南路街道</v>
      </c>
      <c r="D309" s="3" t="str">
        <f>"熙台岭社区"</f>
        <v>熙台岭社区</v>
      </c>
      <c r="E309" s="3" t="str">
        <f t="shared" si="100"/>
        <v>140</v>
      </c>
      <c r="F309" s="3" t="str">
        <f t="shared" si="105"/>
        <v>100</v>
      </c>
      <c r="G309" s="3" t="str">
        <f t="shared" ref="G309:G313" si="117">"二级"</f>
        <v>二级</v>
      </c>
    </row>
    <row r="310" customHeight="1" spans="1:7">
      <c r="A310" s="3" t="str">
        <f>"1509"</f>
        <v>1509</v>
      </c>
      <c r="B310" s="3" t="s">
        <v>72</v>
      </c>
      <c r="C310" s="3" t="str">
        <f>"裕南街街道"</f>
        <v>裕南街街道</v>
      </c>
      <c r="D310" s="3" t="str">
        <f>"石子冲社区"</f>
        <v>石子冲社区</v>
      </c>
      <c r="E310" s="3" t="str">
        <f t="shared" si="100"/>
        <v>140</v>
      </c>
      <c r="F310" s="3" t="str">
        <f t="shared" si="105"/>
        <v>100</v>
      </c>
      <c r="G310" s="3" t="str">
        <f t="shared" ref="G310:G315" si="118">"一级"</f>
        <v>一级</v>
      </c>
    </row>
    <row r="311" customHeight="1" spans="1:7">
      <c r="A311" s="3" t="str">
        <f>"1510"</f>
        <v>1510</v>
      </c>
      <c r="B311" s="3" t="s">
        <v>1130</v>
      </c>
      <c r="C311" s="3" t="str">
        <f t="shared" ref="C311:C315" si="119">"赤岭路街道"</f>
        <v>赤岭路街道</v>
      </c>
      <c r="D311" s="3" t="str">
        <f t="shared" ref="D311:D315" si="120">"新丰社区"</f>
        <v>新丰社区</v>
      </c>
      <c r="E311" s="3" t="str">
        <f t="shared" si="100"/>
        <v>140</v>
      </c>
      <c r="F311" s="3" t="str">
        <f t="shared" si="105"/>
        <v>100</v>
      </c>
      <c r="G311" s="3" t="str">
        <f t="shared" si="118"/>
        <v>一级</v>
      </c>
    </row>
    <row r="312" customHeight="1" spans="1:7">
      <c r="A312" s="3" t="str">
        <f>"1511"</f>
        <v>1511</v>
      </c>
      <c r="B312" s="3" t="s">
        <v>267</v>
      </c>
      <c r="C312" s="3" t="str">
        <f>"黑石铺街道"</f>
        <v>黑石铺街道</v>
      </c>
      <c r="D312" s="3" t="str">
        <f>"披塘村委会"</f>
        <v>披塘村委会</v>
      </c>
      <c r="E312" s="3" t="str">
        <f t="shared" si="100"/>
        <v>140</v>
      </c>
      <c r="F312" s="3" t="str">
        <f t="shared" si="105"/>
        <v>100</v>
      </c>
      <c r="G312" s="3" t="str">
        <f t="shared" si="117"/>
        <v>二级</v>
      </c>
    </row>
    <row r="313" customHeight="1" spans="1:7">
      <c r="A313" s="3" t="str">
        <f>"1512"</f>
        <v>1512</v>
      </c>
      <c r="B313" s="3" t="s">
        <v>1131</v>
      </c>
      <c r="C313" s="3" t="str">
        <f>"裕南街街道"</f>
        <v>裕南街街道</v>
      </c>
      <c r="D313" s="3" t="str">
        <f>"裕南街社区"</f>
        <v>裕南街社区</v>
      </c>
      <c r="E313" s="3" t="str">
        <f t="shared" si="100"/>
        <v>140</v>
      </c>
      <c r="F313" s="3" t="str">
        <f t="shared" si="105"/>
        <v>100</v>
      </c>
      <c r="G313" s="3" t="str">
        <f t="shared" si="117"/>
        <v>二级</v>
      </c>
    </row>
    <row r="314" customHeight="1" spans="1:7">
      <c r="A314" s="3" t="str">
        <f>"1513"</f>
        <v>1513</v>
      </c>
      <c r="B314" s="3" t="s">
        <v>1132</v>
      </c>
      <c r="C314" s="3" t="str">
        <f t="shared" si="119"/>
        <v>赤岭路街道</v>
      </c>
      <c r="D314" s="3" t="str">
        <f t="shared" si="120"/>
        <v>新丰社区</v>
      </c>
      <c r="E314" s="3" t="str">
        <f t="shared" si="100"/>
        <v>140</v>
      </c>
      <c r="F314" s="3" t="str">
        <f t="shared" si="105"/>
        <v>100</v>
      </c>
      <c r="G314" s="3" t="str">
        <f t="shared" si="118"/>
        <v>一级</v>
      </c>
    </row>
    <row r="315" customHeight="1" spans="1:7">
      <c r="A315" s="3" t="str">
        <f>"1514"</f>
        <v>1514</v>
      </c>
      <c r="B315" s="3" t="s">
        <v>267</v>
      </c>
      <c r="C315" s="3" t="str">
        <f t="shared" si="119"/>
        <v>赤岭路街道</v>
      </c>
      <c r="D315" s="3" t="str">
        <f t="shared" si="120"/>
        <v>新丰社区</v>
      </c>
      <c r="E315" s="3" t="str">
        <f t="shared" si="100"/>
        <v>140</v>
      </c>
      <c r="F315" s="3" t="str">
        <f t="shared" si="105"/>
        <v>100</v>
      </c>
      <c r="G315" s="3" t="str">
        <f t="shared" si="118"/>
        <v>一级</v>
      </c>
    </row>
    <row r="316" customHeight="1" spans="1:7">
      <c r="A316" s="3" t="str">
        <f>"1515"</f>
        <v>1515</v>
      </c>
      <c r="B316" s="3" t="s">
        <v>1133</v>
      </c>
      <c r="C316" s="3" t="str">
        <f>"城南路街道"</f>
        <v>城南路街道</v>
      </c>
      <c r="D316" s="3" t="str">
        <f>"白沙井社区"</f>
        <v>白沙井社区</v>
      </c>
      <c r="E316" s="3" t="str">
        <f t="shared" si="100"/>
        <v>140</v>
      </c>
      <c r="F316" s="3" t="str">
        <f t="shared" si="105"/>
        <v>100</v>
      </c>
      <c r="G316" s="3" t="str">
        <f t="shared" ref="G316:G321" si="121">"二级"</f>
        <v>二级</v>
      </c>
    </row>
    <row r="317" customHeight="1" spans="1:7">
      <c r="A317" s="3" t="str">
        <f>"1516"</f>
        <v>1516</v>
      </c>
      <c r="B317" s="3" t="s">
        <v>1134</v>
      </c>
      <c r="C317" s="3" t="str">
        <f>"新开铺街道"</f>
        <v>新开铺街道</v>
      </c>
      <c r="D317" s="3" t="str">
        <f>"新开铺社区"</f>
        <v>新开铺社区</v>
      </c>
      <c r="E317" s="3" t="str">
        <f t="shared" si="100"/>
        <v>140</v>
      </c>
      <c r="F317" s="3" t="str">
        <f t="shared" si="105"/>
        <v>100</v>
      </c>
      <c r="G317" s="3" t="str">
        <f t="shared" si="121"/>
        <v>二级</v>
      </c>
    </row>
    <row r="318" customHeight="1" spans="1:7">
      <c r="A318" s="3" t="str">
        <f>"1517"</f>
        <v>1517</v>
      </c>
      <c r="B318" s="3" t="s">
        <v>1135</v>
      </c>
      <c r="C318" s="3" t="str">
        <f>"暮云街道"</f>
        <v>暮云街道</v>
      </c>
      <c r="D318" s="3" t="str">
        <f>"许兴村"</f>
        <v>许兴村</v>
      </c>
      <c r="E318" s="3" t="str">
        <f t="shared" si="100"/>
        <v>140</v>
      </c>
      <c r="F318" s="3" t="str">
        <f>"0"</f>
        <v>0</v>
      </c>
      <c r="G318" s="3" t="str">
        <f>"四级"</f>
        <v>四级</v>
      </c>
    </row>
    <row r="319" customHeight="1" spans="1:7">
      <c r="A319" s="3" t="str">
        <f>"1518"</f>
        <v>1518</v>
      </c>
      <c r="B319" s="3" t="s">
        <v>1136</v>
      </c>
      <c r="C319" s="3" t="str">
        <f>"大托铺街道"</f>
        <v>大托铺街道</v>
      </c>
      <c r="D319" s="3" t="str">
        <f>"大托村委会"</f>
        <v>大托村委会</v>
      </c>
      <c r="E319" s="3" t="str">
        <f t="shared" si="100"/>
        <v>140</v>
      </c>
      <c r="F319" s="3" t="str">
        <f t="shared" ref="F319:F382" si="122">"100"</f>
        <v>100</v>
      </c>
      <c r="G319" s="3" t="str">
        <f t="shared" ref="G319:G324" si="123">"一级"</f>
        <v>一级</v>
      </c>
    </row>
    <row r="320" customHeight="1" spans="1:7">
      <c r="A320" s="3" t="str">
        <f>"1519"</f>
        <v>1519</v>
      </c>
      <c r="B320" s="3" t="s">
        <v>1137</v>
      </c>
      <c r="C320" s="3" t="str">
        <f>"赤岭路街道"</f>
        <v>赤岭路街道</v>
      </c>
      <c r="D320" s="3" t="str">
        <f>"广厦新村社区"</f>
        <v>广厦新村社区</v>
      </c>
      <c r="E320" s="3" t="str">
        <f t="shared" si="100"/>
        <v>140</v>
      </c>
      <c r="F320" s="3" t="str">
        <f t="shared" si="122"/>
        <v>100</v>
      </c>
      <c r="G320" s="3" t="str">
        <f t="shared" si="121"/>
        <v>二级</v>
      </c>
    </row>
    <row r="321" customHeight="1" spans="1:7">
      <c r="A321" s="3" t="str">
        <f>"1520"</f>
        <v>1520</v>
      </c>
      <c r="B321" s="3" t="s">
        <v>1138</v>
      </c>
      <c r="C321" s="3" t="str">
        <f>"金盆岭街道"</f>
        <v>金盆岭街道</v>
      </c>
      <c r="D321" s="3" t="str">
        <f>"赤岭路社区"</f>
        <v>赤岭路社区</v>
      </c>
      <c r="E321" s="3" t="str">
        <f t="shared" si="100"/>
        <v>140</v>
      </c>
      <c r="F321" s="3" t="str">
        <f t="shared" si="122"/>
        <v>100</v>
      </c>
      <c r="G321" s="3" t="str">
        <f t="shared" si="121"/>
        <v>二级</v>
      </c>
    </row>
    <row r="322" customHeight="1" spans="1:7">
      <c r="A322" s="3" t="str">
        <f>"1521"</f>
        <v>1521</v>
      </c>
      <c r="B322" s="3" t="s">
        <v>146</v>
      </c>
      <c r="C322" s="3" t="str">
        <f>"裕南街街道"</f>
        <v>裕南街街道</v>
      </c>
      <c r="D322" s="3" t="str">
        <f>"仰天湖社区"</f>
        <v>仰天湖社区</v>
      </c>
      <c r="E322" s="3" t="str">
        <f t="shared" ref="E322:E385" si="124">"140"</f>
        <v>140</v>
      </c>
      <c r="F322" s="3" t="str">
        <f t="shared" si="122"/>
        <v>100</v>
      </c>
      <c r="G322" s="3" t="str">
        <f t="shared" si="123"/>
        <v>一级</v>
      </c>
    </row>
    <row r="323" customHeight="1" spans="1:7">
      <c r="A323" s="3" t="str">
        <f>"1522"</f>
        <v>1522</v>
      </c>
      <c r="B323" s="3" t="s">
        <v>1139</v>
      </c>
      <c r="C323" s="3" t="str">
        <f>"坡子街街道"</f>
        <v>坡子街街道</v>
      </c>
      <c r="D323" s="3" t="str">
        <f>"青山祠社区"</f>
        <v>青山祠社区</v>
      </c>
      <c r="E323" s="3" t="str">
        <f t="shared" si="124"/>
        <v>140</v>
      </c>
      <c r="F323" s="3" t="str">
        <f t="shared" si="122"/>
        <v>100</v>
      </c>
      <c r="G323" s="3" t="str">
        <f t="shared" si="123"/>
        <v>一级</v>
      </c>
    </row>
    <row r="324" customHeight="1" spans="1:7">
      <c r="A324" s="3" t="str">
        <f>"1523"</f>
        <v>1523</v>
      </c>
      <c r="B324" s="3" t="s">
        <v>1140</v>
      </c>
      <c r="C324" s="3" t="str">
        <f>"赤岭路街道"</f>
        <v>赤岭路街道</v>
      </c>
      <c r="D324" s="3" t="str">
        <f>"猴子石社区"</f>
        <v>猴子石社区</v>
      </c>
      <c r="E324" s="3" t="str">
        <f t="shared" si="124"/>
        <v>140</v>
      </c>
      <c r="F324" s="3" t="str">
        <f t="shared" si="122"/>
        <v>100</v>
      </c>
      <c r="G324" s="3" t="str">
        <f t="shared" si="123"/>
        <v>一级</v>
      </c>
    </row>
    <row r="325" customHeight="1" spans="1:7">
      <c r="A325" s="3" t="str">
        <f>"1524"</f>
        <v>1524</v>
      </c>
      <c r="B325" s="3" t="s">
        <v>1141</v>
      </c>
      <c r="C325" s="3" t="str">
        <f>"裕南街街道"</f>
        <v>裕南街街道</v>
      </c>
      <c r="D325" s="3" t="str">
        <f>"火把山社区"</f>
        <v>火把山社区</v>
      </c>
      <c r="E325" s="3" t="str">
        <f t="shared" si="124"/>
        <v>140</v>
      </c>
      <c r="F325" s="3" t="str">
        <f t="shared" si="122"/>
        <v>100</v>
      </c>
      <c r="G325" s="3" t="str">
        <f t="shared" ref="G325:G334" si="125">"二级"</f>
        <v>二级</v>
      </c>
    </row>
    <row r="326" customHeight="1" spans="1:7">
      <c r="A326" s="3" t="str">
        <f>"1525"</f>
        <v>1525</v>
      </c>
      <c r="B326" s="3" t="s">
        <v>1142</v>
      </c>
      <c r="C326" s="3" t="str">
        <f t="shared" ref="C326:C330" si="126">"金盆岭街道"</f>
        <v>金盆岭街道</v>
      </c>
      <c r="D326" s="3" t="str">
        <f>"夏家冲社区"</f>
        <v>夏家冲社区</v>
      </c>
      <c r="E326" s="3" t="str">
        <f t="shared" si="124"/>
        <v>140</v>
      </c>
      <c r="F326" s="3" t="str">
        <f t="shared" si="122"/>
        <v>100</v>
      </c>
      <c r="G326" s="3" t="str">
        <f t="shared" si="125"/>
        <v>二级</v>
      </c>
    </row>
    <row r="327" customHeight="1" spans="1:7">
      <c r="A327" s="3" t="str">
        <f>"1526"</f>
        <v>1526</v>
      </c>
      <c r="B327" s="3" t="s">
        <v>616</v>
      </c>
      <c r="C327" s="3" t="str">
        <f t="shared" si="126"/>
        <v>金盆岭街道</v>
      </c>
      <c r="D327" s="3" t="str">
        <f>"黄土岭社区"</f>
        <v>黄土岭社区</v>
      </c>
      <c r="E327" s="3" t="str">
        <f t="shared" si="124"/>
        <v>140</v>
      </c>
      <c r="F327" s="3" t="str">
        <f t="shared" si="122"/>
        <v>100</v>
      </c>
      <c r="G327" s="3" t="str">
        <f t="shared" si="125"/>
        <v>二级</v>
      </c>
    </row>
    <row r="328" customHeight="1" spans="1:7">
      <c r="A328" s="3" t="str">
        <f>"1527"</f>
        <v>1527</v>
      </c>
      <c r="B328" s="3" t="s">
        <v>1143</v>
      </c>
      <c r="C328" s="3" t="str">
        <f>"赤岭路街道"</f>
        <v>赤岭路街道</v>
      </c>
      <c r="D328" s="3" t="str">
        <f>"新丰社区"</f>
        <v>新丰社区</v>
      </c>
      <c r="E328" s="3" t="str">
        <f t="shared" si="124"/>
        <v>140</v>
      </c>
      <c r="F328" s="3" t="str">
        <f t="shared" si="122"/>
        <v>100</v>
      </c>
      <c r="G328" s="3" t="str">
        <f t="shared" si="125"/>
        <v>二级</v>
      </c>
    </row>
    <row r="329" customHeight="1" spans="1:7">
      <c r="A329" s="3" t="str">
        <f>"1528"</f>
        <v>1528</v>
      </c>
      <c r="B329" s="3" t="s">
        <v>1144</v>
      </c>
      <c r="C329" s="3" t="str">
        <f t="shared" si="126"/>
        <v>金盆岭街道</v>
      </c>
      <c r="D329" s="3" t="str">
        <f>"狮子山社区"</f>
        <v>狮子山社区</v>
      </c>
      <c r="E329" s="3" t="str">
        <f t="shared" si="124"/>
        <v>140</v>
      </c>
      <c r="F329" s="3" t="str">
        <f t="shared" si="122"/>
        <v>100</v>
      </c>
      <c r="G329" s="3" t="str">
        <f t="shared" si="125"/>
        <v>二级</v>
      </c>
    </row>
    <row r="330" customHeight="1" spans="1:7">
      <c r="A330" s="3" t="str">
        <f>"1529"</f>
        <v>1529</v>
      </c>
      <c r="B330" s="3" t="s">
        <v>717</v>
      </c>
      <c r="C330" s="3" t="str">
        <f t="shared" si="126"/>
        <v>金盆岭街道</v>
      </c>
      <c r="D330" s="3" t="str">
        <f>"夏家冲社区"</f>
        <v>夏家冲社区</v>
      </c>
      <c r="E330" s="3" t="str">
        <f t="shared" si="124"/>
        <v>140</v>
      </c>
      <c r="F330" s="3" t="str">
        <f t="shared" si="122"/>
        <v>100</v>
      </c>
      <c r="G330" s="3" t="str">
        <f t="shared" si="125"/>
        <v>二级</v>
      </c>
    </row>
    <row r="331" customHeight="1" spans="1:7">
      <c r="A331" s="3" t="str">
        <f>"1530"</f>
        <v>1530</v>
      </c>
      <c r="B331" s="3" t="s">
        <v>72</v>
      </c>
      <c r="C331" s="3" t="str">
        <f>"坡子街街道"</f>
        <v>坡子街街道</v>
      </c>
      <c r="D331" s="3" t="str">
        <f>"青山祠社区"</f>
        <v>青山祠社区</v>
      </c>
      <c r="E331" s="3" t="str">
        <f t="shared" si="124"/>
        <v>140</v>
      </c>
      <c r="F331" s="3" t="str">
        <f t="shared" si="122"/>
        <v>100</v>
      </c>
      <c r="G331" s="3" t="str">
        <f t="shared" si="125"/>
        <v>二级</v>
      </c>
    </row>
    <row r="332" customHeight="1" spans="1:7">
      <c r="A332" s="3" t="str">
        <f>"1531"</f>
        <v>1531</v>
      </c>
      <c r="B332" s="3" t="s">
        <v>1145</v>
      </c>
      <c r="C332" s="3" t="str">
        <f>"裕南街街道"</f>
        <v>裕南街街道</v>
      </c>
      <c r="D332" s="3" t="str">
        <f>"裕南街社区"</f>
        <v>裕南街社区</v>
      </c>
      <c r="E332" s="3" t="str">
        <f t="shared" si="124"/>
        <v>140</v>
      </c>
      <c r="F332" s="3" t="str">
        <f t="shared" si="122"/>
        <v>100</v>
      </c>
      <c r="G332" s="3" t="str">
        <f t="shared" si="125"/>
        <v>二级</v>
      </c>
    </row>
    <row r="333" customHeight="1" spans="1:7">
      <c r="A333" s="3" t="str">
        <f>"1532"</f>
        <v>1532</v>
      </c>
      <c r="B333" s="3" t="s">
        <v>1146</v>
      </c>
      <c r="C333" s="3" t="str">
        <f t="shared" ref="C333:C337" si="127">"金盆岭街道"</f>
        <v>金盆岭街道</v>
      </c>
      <c r="D333" s="3" t="str">
        <f>"赤岭路社区"</f>
        <v>赤岭路社区</v>
      </c>
      <c r="E333" s="3" t="str">
        <f t="shared" si="124"/>
        <v>140</v>
      </c>
      <c r="F333" s="3" t="str">
        <f t="shared" si="122"/>
        <v>100</v>
      </c>
      <c r="G333" s="3" t="str">
        <f t="shared" si="125"/>
        <v>二级</v>
      </c>
    </row>
    <row r="334" customHeight="1" spans="1:7">
      <c r="A334" s="3" t="str">
        <f>"1533"</f>
        <v>1533</v>
      </c>
      <c r="B334" s="3" t="s">
        <v>1147</v>
      </c>
      <c r="C334" s="3" t="str">
        <f>"新开铺街道"</f>
        <v>新开铺街道</v>
      </c>
      <c r="D334" s="3" t="str">
        <f>"新开铺社区"</f>
        <v>新开铺社区</v>
      </c>
      <c r="E334" s="3" t="str">
        <f t="shared" si="124"/>
        <v>140</v>
      </c>
      <c r="F334" s="3" t="str">
        <f t="shared" si="122"/>
        <v>100</v>
      </c>
      <c r="G334" s="3" t="str">
        <f t="shared" si="125"/>
        <v>二级</v>
      </c>
    </row>
    <row r="335" customHeight="1" spans="1:7">
      <c r="A335" s="3" t="str">
        <f>"1534"</f>
        <v>1534</v>
      </c>
      <c r="B335" s="3" t="s">
        <v>68</v>
      </c>
      <c r="C335" s="3" t="str">
        <f>"裕南街街道"</f>
        <v>裕南街街道</v>
      </c>
      <c r="D335" s="3" t="str">
        <f>"火把山社区"</f>
        <v>火把山社区</v>
      </c>
      <c r="E335" s="3" t="str">
        <f t="shared" si="124"/>
        <v>140</v>
      </c>
      <c r="F335" s="3" t="str">
        <f t="shared" si="122"/>
        <v>100</v>
      </c>
      <c r="G335" s="3" t="str">
        <f>"一级"</f>
        <v>一级</v>
      </c>
    </row>
    <row r="336" customHeight="1" spans="1:7">
      <c r="A336" s="3" t="str">
        <f>"1535"</f>
        <v>1535</v>
      </c>
      <c r="B336" s="3" t="s">
        <v>1148</v>
      </c>
      <c r="C336" s="3" t="str">
        <f t="shared" si="127"/>
        <v>金盆岭街道</v>
      </c>
      <c r="D336" s="3" t="str">
        <f>"黄土岭社区"</f>
        <v>黄土岭社区</v>
      </c>
      <c r="E336" s="3" t="str">
        <f t="shared" si="124"/>
        <v>140</v>
      </c>
      <c r="F336" s="3" t="str">
        <f t="shared" si="122"/>
        <v>100</v>
      </c>
      <c r="G336" s="3" t="str">
        <f t="shared" ref="G336:G339" si="128">"二级"</f>
        <v>二级</v>
      </c>
    </row>
    <row r="337" customHeight="1" spans="1:7">
      <c r="A337" s="3" t="str">
        <f>"1536"</f>
        <v>1536</v>
      </c>
      <c r="B337" s="3" t="s">
        <v>1149</v>
      </c>
      <c r="C337" s="3" t="str">
        <f t="shared" si="127"/>
        <v>金盆岭街道</v>
      </c>
      <c r="D337" s="3" t="str">
        <f>"狮子山社区"</f>
        <v>狮子山社区</v>
      </c>
      <c r="E337" s="3" t="str">
        <f t="shared" si="124"/>
        <v>140</v>
      </c>
      <c r="F337" s="3" t="str">
        <f t="shared" si="122"/>
        <v>100</v>
      </c>
      <c r="G337" s="3" t="str">
        <f t="shared" si="128"/>
        <v>二级</v>
      </c>
    </row>
    <row r="338" customHeight="1" spans="1:7">
      <c r="A338" s="3" t="str">
        <f>"1537"</f>
        <v>1537</v>
      </c>
      <c r="B338" s="3" t="s">
        <v>1150</v>
      </c>
      <c r="C338" s="3" t="str">
        <f>"裕南街街道"</f>
        <v>裕南街街道</v>
      </c>
      <c r="D338" s="3" t="str">
        <f>"杏花园社区"</f>
        <v>杏花园社区</v>
      </c>
      <c r="E338" s="3" t="str">
        <f t="shared" si="124"/>
        <v>140</v>
      </c>
      <c r="F338" s="3" t="str">
        <f t="shared" si="122"/>
        <v>100</v>
      </c>
      <c r="G338" s="3" t="str">
        <f t="shared" si="128"/>
        <v>二级</v>
      </c>
    </row>
    <row r="339" customHeight="1" spans="1:7">
      <c r="A339" s="3" t="str">
        <f>"1538"</f>
        <v>1538</v>
      </c>
      <c r="B339" s="3" t="s">
        <v>1151</v>
      </c>
      <c r="C339" s="3" t="str">
        <f t="shared" ref="C339:C343" si="129">"坡子街街道"</f>
        <v>坡子街街道</v>
      </c>
      <c r="D339" s="3" t="str">
        <f>"登仁桥社区"</f>
        <v>登仁桥社区</v>
      </c>
      <c r="E339" s="3" t="str">
        <f t="shared" si="124"/>
        <v>140</v>
      </c>
      <c r="F339" s="3" t="str">
        <f t="shared" si="122"/>
        <v>100</v>
      </c>
      <c r="G339" s="3" t="str">
        <f t="shared" si="128"/>
        <v>二级</v>
      </c>
    </row>
    <row r="340" customHeight="1" spans="1:7">
      <c r="A340" s="3" t="str">
        <f>"1539"</f>
        <v>1539</v>
      </c>
      <c r="B340" s="3" t="s">
        <v>68</v>
      </c>
      <c r="C340" s="3" t="str">
        <f>"城南路街道"</f>
        <v>城南路街道</v>
      </c>
      <c r="D340" s="3" t="str">
        <f>"白沙井社区"</f>
        <v>白沙井社区</v>
      </c>
      <c r="E340" s="3" t="str">
        <f t="shared" si="124"/>
        <v>140</v>
      </c>
      <c r="F340" s="3" t="str">
        <f t="shared" si="122"/>
        <v>100</v>
      </c>
      <c r="G340" s="3" t="str">
        <f t="shared" ref="G340:G344" si="130">"一级"</f>
        <v>一级</v>
      </c>
    </row>
    <row r="341" customHeight="1" spans="1:7">
      <c r="A341" s="3" t="str">
        <f>"1540"</f>
        <v>1540</v>
      </c>
      <c r="B341" s="3" t="s">
        <v>1152</v>
      </c>
      <c r="C341" s="3" t="str">
        <f>"文源街道"</f>
        <v>文源街道</v>
      </c>
      <c r="D341" s="3" t="str">
        <f>"金汇社区"</f>
        <v>金汇社区</v>
      </c>
      <c r="E341" s="3" t="str">
        <f t="shared" si="124"/>
        <v>140</v>
      </c>
      <c r="F341" s="3" t="str">
        <f t="shared" si="122"/>
        <v>100</v>
      </c>
      <c r="G341" s="3" t="str">
        <f t="shared" ref="G341:G348" si="131">"二级"</f>
        <v>二级</v>
      </c>
    </row>
    <row r="342" customHeight="1" spans="1:7">
      <c r="A342" s="3" t="str">
        <f>"1541"</f>
        <v>1541</v>
      </c>
      <c r="B342" s="3" t="s">
        <v>1153</v>
      </c>
      <c r="C342" s="3" t="str">
        <f t="shared" si="129"/>
        <v>坡子街街道</v>
      </c>
      <c r="D342" s="3" t="str">
        <f>"西牌楼社区"</f>
        <v>西牌楼社区</v>
      </c>
      <c r="E342" s="3" t="str">
        <f t="shared" si="124"/>
        <v>140</v>
      </c>
      <c r="F342" s="3" t="str">
        <f t="shared" si="122"/>
        <v>100</v>
      </c>
      <c r="G342" s="3" t="str">
        <f t="shared" si="130"/>
        <v>一级</v>
      </c>
    </row>
    <row r="343" customHeight="1" spans="1:7">
      <c r="A343" s="3" t="str">
        <f>"1542"</f>
        <v>1542</v>
      </c>
      <c r="B343" s="3" t="s">
        <v>1154</v>
      </c>
      <c r="C343" s="3" t="str">
        <f t="shared" si="129"/>
        <v>坡子街街道</v>
      </c>
      <c r="D343" s="3" t="str">
        <f>"西湖社区"</f>
        <v>西湖社区</v>
      </c>
      <c r="E343" s="3" t="str">
        <f t="shared" si="124"/>
        <v>140</v>
      </c>
      <c r="F343" s="3" t="str">
        <f t="shared" si="122"/>
        <v>100</v>
      </c>
      <c r="G343" s="3" t="str">
        <f t="shared" si="130"/>
        <v>一级</v>
      </c>
    </row>
    <row r="344" customHeight="1" spans="1:7">
      <c r="A344" s="3" t="str">
        <f>"1543"</f>
        <v>1543</v>
      </c>
      <c r="B344" s="3" t="s">
        <v>1155</v>
      </c>
      <c r="C344" s="3" t="str">
        <f t="shared" ref="C344:C349" si="132">"裕南街街道"</f>
        <v>裕南街街道</v>
      </c>
      <c r="D344" s="3" t="str">
        <f t="shared" ref="D344:D349" si="133">"长坡社区"</f>
        <v>长坡社区</v>
      </c>
      <c r="E344" s="3" t="str">
        <f t="shared" si="124"/>
        <v>140</v>
      </c>
      <c r="F344" s="3" t="str">
        <f t="shared" si="122"/>
        <v>100</v>
      </c>
      <c r="G344" s="3" t="str">
        <f t="shared" si="130"/>
        <v>一级</v>
      </c>
    </row>
    <row r="345" customHeight="1" spans="1:7">
      <c r="A345" s="3" t="str">
        <f>"1544"</f>
        <v>1544</v>
      </c>
      <c r="B345" s="3" t="s">
        <v>1156</v>
      </c>
      <c r="C345" s="3" t="str">
        <f>"金盆岭街道"</f>
        <v>金盆岭街道</v>
      </c>
      <c r="D345" s="3" t="str">
        <f>"夏家冲社区"</f>
        <v>夏家冲社区</v>
      </c>
      <c r="E345" s="3" t="str">
        <f t="shared" si="124"/>
        <v>140</v>
      </c>
      <c r="F345" s="3" t="str">
        <f t="shared" si="122"/>
        <v>100</v>
      </c>
      <c r="G345" s="3" t="str">
        <f t="shared" si="131"/>
        <v>二级</v>
      </c>
    </row>
    <row r="346" customHeight="1" spans="1:7">
      <c r="A346" s="3" t="str">
        <f>"1545"</f>
        <v>1545</v>
      </c>
      <c r="B346" s="3" t="s">
        <v>1157</v>
      </c>
      <c r="C346" s="3" t="str">
        <f>"金盆岭街道"</f>
        <v>金盆岭街道</v>
      </c>
      <c r="D346" s="3" t="str">
        <f>"涂新社区"</f>
        <v>涂新社区</v>
      </c>
      <c r="E346" s="3" t="str">
        <f t="shared" si="124"/>
        <v>140</v>
      </c>
      <c r="F346" s="3" t="str">
        <f t="shared" si="122"/>
        <v>100</v>
      </c>
      <c r="G346" s="3" t="str">
        <f t="shared" si="131"/>
        <v>二级</v>
      </c>
    </row>
    <row r="347" customHeight="1" spans="1:7">
      <c r="A347" s="3" t="str">
        <f>"1546"</f>
        <v>1546</v>
      </c>
      <c r="B347" s="3" t="s">
        <v>1158</v>
      </c>
      <c r="C347" s="3" t="str">
        <f>"坡子街街道"</f>
        <v>坡子街街道</v>
      </c>
      <c r="D347" s="3" t="str">
        <f>"登仁桥社区"</f>
        <v>登仁桥社区</v>
      </c>
      <c r="E347" s="3" t="str">
        <f t="shared" si="124"/>
        <v>140</v>
      </c>
      <c r="F347" s="3" t="str">
        <f t="shared" si="122"/>
        <v>100</v>
      </c>
      <c r="G347" s="3" t="str">
        <f t="shared" si="131"/>
        <v>二级</v>
      </c>
    </row>
    <row r="348" customHeight="1" spans="1:7">
      <c r="A348" s="3" t="str">
        <f>"1547"</f>
        <v>1547</v>
      </c>
      <c r="B348" s="3" t="s">
        <v>76</v>
      </c>
      <c r="C348" s="3" t="str">
        <f t="shared" si="132"/>
        <v>裕南街街道</v>
      </c>
      <c r="D348" s="3" t="str">
        <f t="shared" si="133"/>
        <v>长坡社区</v>
      </c>
      <c r="E348" s="3" t="str">
        <f t="shared" si="124"/>
        <v>140</v>
      </c>
      <c r="F348" s="3" t="str">
        <f t="shared" si="122"/>
        <v>100</v>
      </c>
      <c r="G348" s="3" t="str">
        <f t="shared" si="131"/>
        <v>二级</v>
      </c>
    </row>
    <row r="349" customHeight="1" spans="1:7">
      <c r="A349" s="3" t="str">
        <f>"1548"</f>
        <v>1548</v>
      </c>
      <c r="B349" s="3" t="s">
        <v>132</v>
      </c>
      <c r="C349" s="3" t="str">
        <f t="shared" si="132"/>
        <v>裕南街街道</v>
      </c>
      <c r="D349" s="3" t="str">
        <f t="shared" si="133"/>
        <v>长坡社区</v>
      </c>
      <c r="E349" s="3" t="str">
        <f t="shared" si="124"/>
        <v>140</v>
      </c>
      <c r="F349" s="3" t="str">
        <f t="shared" si="122"/>
        <v>100</v>
      </c>
      <c r="G349" s="3" t="str">
        <f>"一级"</f>
        <v>一级</v>
      </c>
    </row>
    <row r="350" customHeight="1" spans="1:7">
      <c r="A350" s="3" t="str">
        <f>"1549"</f>
        <v>1549</v>
      </c>
      <c r="B350" s="3" t="s">
        <v>72</v>
      </c>
      <c r="C350" s="3" t="str">
        <f>"新开铺街道"</f>
        <v>新开铺街道</v>
      </c>
      <c r="D350" s="3" t="str">
        <f>"新开铺社区"</f>
        <v>新开铺社区</v>
      </c>
      <c r="E350" s="3" t="str">
        <f t="shared" si="124"/>
        <v>140</v>
      </c>
      <c r="F350" s="3" t="str">
        <f t="shared" si="122"/>
        <v>100</v>
      </c>
      <c r="G350" s="3" t="str">
        <f t="shared" ref="G350:G353" si="134">"二级"</f>
        <v>二级</v>
      </c>
    </row>
    <row r="351" customHeight="1" spans="1:7">
      <c r="A351" s="3" t="str">
        <f>"1550"</f>
        <v>1550</v>
      </c>
      <c r="B351" s="3" t="s">
        <v>1159</v>
      </c>
      <c r="C351" s="3" t="str">
        <f>"裕南街街道"</f>
        <v>裕南街街道</v>
      </c>
      <c r="D351" s="3" t="str">
        <f>"向东南社区"</f>
        <v>向东南社区</v>
      </c>
      <c r="E351" s="3" t="str">
        <f t="shared" si="124"/>
        <v>140</v>
      </c>
      <c r="F351" s="3" t="str">
        <f t="shared" si="122"/>
        <v>100</v>
      </c>
      <c r="G351" s="3" t="str">
        <f t="shared" si="134"/>
        <v>二级</v>
      </c>
    </row>
    <row r="352" customHeight="1" spans="1:7">
      <c r="A352" s="3" t="str">
        <f>"1551"</f>
        <v>1551</v>
      </c>
      <c r="B352" s="3" t="s">
        <v>1160</v>
      </c>
      <c r="C352" s="3" t="str">
        <f>"南托街道"</f>
        <v>南托街道</v>
      </c>
      <c r="D352" s="3" t="str">
        <f>"北塘社区"</f>
        <v>北塘社区</v>
      </c>
      <c r="E352" s="3" t="str">
        <f t="shared" si="124"/>
        <v>140</v>
      </c>
      <c r="F352" s="3" t="str">
        <f t="shared" si="122"/>
        <v>100</v>
      </c>
      <c r="G352" s="3" t="str">
        <f t="shared" si="134"/>
        <v>二级</v>
      </c>
    </row>
    <row r="353" customHeight="1" spans="1:7">
      <c r="A353" s="3" t="str">
        <f>"1552"</f>
        <v>1552</v>
      </c>
      <c r="B353" s="3" t="s">
        <v>1161</v>
      </c>
      <c r="C353" s="3" t="str">
        <f>"城南路街道"</f>
        <v>城南路街道</v>
      </c>
      <c r="D353" s="3" t="str">
        <f>"古道巷社区"</f>
        <v>古道巷社区</v>
      </c>
      <c r="E353" s="3" t="str">
        <f t="shared" si="124"/>
        <v>140</v>
      </c>
      <c r="F353" s="3" t="str">
        <f t="shared" si="122"/>
        <v>100</v>
      </c>
      <c r="G353" s="3" t="str">
        <f t="shared" si="134"/>
        <v>二级</v>
      </c>
    </row>
    <row r="354" customHeight="1" spans="1:7">
      <c r="A354" s="3" t="str">
        <f>"1553"</f>
        <v>1553</v>
      </c>
      <c r="B354" s="3" t="s">
        <v>32</v>
      </c>
      <c r="C354" s="3" t="str">
        <f>"暮云街道"</f>
        <v>暮云街道</v>
      </c>
      <c r="D354" s="3" t="str">
        <f>"暮云新村"</f>
        <v>暮云新村</v>
      </c>
      <c r="E354" s="3" t="str">
        <f t="shared" si="124"/>
        <v>140</v>
      </c>
      <c r="F354" s="3" t="str">
        <f t="shared" si="122"/>
        <v>100</v>
      </c>
      <c r="G354" s="3" t="str">
        <f>"一级"</f>
        <v>一级</v>
      </c>
    </row>
    <row r="355" customHeight="1" spans="1:7">
      <c r="A355" s="3" t="str">
        <f>"1554"</f>
        <v>1554</v>
      </c>
      <c r="B355" s="3" t="s">
        <v>1162</v>
      </c>
      <c r="C355" s="3" t="str">
        <f>"城南路街道"</f>
        <v>城南路街道</v>
      </c>
      <c r="D355" s="3" t="str">
        <f>"工农桥社区"</f>
        <v>工农桥社区</v>
      </c>
      <c r="E355" s="3" t="str">
        <f t="shared" si="124"/>
        <v>140</v>
      </c>
      <c r="F355" s="3" t="str">
        <f t="shared" si="122"/>
        <v>100</v>
      </c>
      <c r="G355" s="3" t="str">
        <f t="shared" ref="G355:G360" si="135">"二级"</f>
        <v>二级</v>
      </c>
    </row>
    <row r="356" customHeight="1" spans="1:7">
      <c r="A356" s="3" t="str">
        <f>"1555"</f>
        <v>1555</v>
      </c>
      <c r="B356" s="3" t="s">
        <v>1163</v>
      </c>
      <c r="C356" s="3" t="str">
        <f>"新开铺街道"</f>
        <v>新开铺街道</v>
      </c>
      <c r="D356" s="3" t="str">
        <f>"新天社区"</f>
        <v>新天社区</v>
      </c>
      <c r="E356" s="3" t="str">
        <f t="shared" si="124"/>
        <v>140</v>
      </c>
      <c r="F356" s="3" t="str">
        <f t="shared" si="122"/>
        <v>100</v>
      </c>
      <c r="G356" s="3" t="str">
        <f t="shared" si="135"/>
        <v>二级</v>
      </c>
    </row>
    <row r="357" customHeight="1" spans="1:7">
      <c r="A357" s="3" t="str">
        <f>"1556"</f>
        <v>1556</v>
      </c>
      <c r="B357" s="3" t="s">
        <v>1164</v>
      </c>
      <c r="C357" s="3" t="str">
        <f>"金盆岭街道"</f>
        <v>金盆岭街道</v>
      </c>
      <c r="D357" s="3" t="str">
        <f>"夏家冲社区"</f>
        <v>夏家冲社区</v>
      </c>
      <c r="E357" s="3" t="str">
        <f t="shared" si="124"/>
        <v>140</v>
      </c>
      <c r="F357" s="3" t="str">
        <f t="shared" si="122"/>
        <v>100</v>
      </c>
      <c r="G357" s="3" t="str">
        <f>"一级"</f>
        <v>一级</v>
      </c>
    </row>
    <row r="358" customHeight="1" spans="1:7">
      <c r="A358" s="3" t="str">
        <f>"1557"</f>
        <v>1557</v>
      </c>
      <c r="B358" s="3" t="s">
        <v>1165</v>
      </c>
      <c r="C358" s="3" t="str">
        <f>"新开铺街道"</f>
        <v>新开铺街道</v>
      </c>
      <c r="D358" s="3" t="str">
        <f>"新开铺社区"</f>
        <v>新开铺社区</v>
      </c>
      <c r="E358" s="3" t="str">
        <f t="shared" si="124"/>
        <v>140</v>
      </c>
      <c r="F358" s="3" t="str">
        <f t="shared" si="122"/>
        <v>100</v>
      </c>
      <c r="G358" s="3" t="str">
        <f t="shared" si="135"/>
        <v>二级</v>
      </c>
    </row>
    <row r="359" customHeight="1" spans="1:7">
      <c r="A359" s="3" t="str">
        <f>"1558"</f>
        <v>1558</v>
      </c>
      <c r="B359" s="3" t="s">
        <v>1165</v>
      </c>
      <c r="C359" s="3" t="str">
        <f>"坡子街街道"</f>
        <v>坡子街街道</v>
      </c>
      <c r="D359" s="3" t="str">
        <f>"西湖社区"</f>
        <v>西湖社区</v>
      </c>
      <c r="E359" s="3" t="str">
        <f t="shared" si="124"/>
        <v>140</v>
      </c>
      <c r="F359" s="3" t="str">
        <f t="shared" si="122"/>
        <v>100</v>
      </c>
      <c r="G359" s="3" t="str">
        <f t="shared" si="135"/>
        <v>二级</v>
      </c>
    </row>
    <row r="360" customHeight="1" spans="1:7">
      <c r="A360" s="3" t="str">
        <f>"1559"</f>
        <v>1559</v>
      </c>
      <c r="B360" s="3" t="s">
        <v>1166</v>
      </c>
      <c r="C360" s="3" t="str">
        <f t="shared" ref="C360:C364" si="136">"裕南街街道"</f>
        <v>裕南街街道</v>
      </c>
      <c r="D360" s="3" t="str">
        <f>"仰天湖社区"</f>
        <v>仰天湖社区</v>
      </c>
      <c r="E360" s="3" t="str">
        <f t="shared" si="124"/>
        <v>140</v>
      </c>
      <c r="F360" s="3" t="str">
        <f t="shared" si="122"/>
        <v>100</v>
      </c>
      <c r="G360" s="3" t="str">
        <f t="shared" si="135"/>
        <v>二级</v>
      </c>
    </row>
    <row r="361" customHeight="1" spans="1:7">
      <c r="A361" s="3" t="str">
        <f>"1560"</f>
        <v>1560</v>
      </c>
      <c r="B361" s="3" t="s">
        <v>1167</v>
      </c>
      <c r="C361" s="3" t="str">
        <f t="shared" si="136"/>
        <v>裕南街街道</v>
      </c>
      <c r="D361" s="3" t="str">
        <f>"石子冲社区"</f>
        <v>石子冲社区</v>
      </c>
      <c r="E361" s="3" t="str">
        <f t="shared" si="124"/>
        <v>140</v>
      </c>
      <c r="F361" s="3" t="str">
        <f t="shared" si="122"/>
        <v>100</v>
      </c>
      <c r="G361" s="3" t="str">
        <f>"一级"</f>
        <v>一级</v>
      </c>
    </row>
    <row r="362" customHeight="1" spans="1:7">
      <c r="A362" s="3" t="str">
        <f>"1561"</f>
        <v>1561</v>
      </c>
      <c r="B362" s="3" t="s">
        <v>256</v>
      </c>
      <c r="C362" s="3" t="str">
        <f t="shared" ref="C362:C365" si="137">"金盆岭街道"</f>
        <v>金盆岭街道</v>
      </c>
      <c r="D362" s="3" t="str">
        <f>"涂新社区"</f>
        <v>涂新社区</v>
      </c>
      <c r="E362" s="3" t="str">
        <f t="shared" si="124"/>
        <v>140</v>
      </c>
      <c r="F362" s="3" t="str">
        <f t="shared" si="122"/>
        <v>100</v>
      </c>
      <c r="G362" s="3" t="str">
        <f t="shared" ref="G362:G375" si="138">"二级"</f>
        <v>二级</v>
      </c>
    </row>
    <row r="363" customHeight="1" spans="1:7">
      <c r="A363" s="3" t="str">
        <f>"1562"</f>
        <v>1562</v>
      </c>
      <c r="B363" s="3" t="s">
        <v>267</v>
      </c>
      <c r="C363" s="3" t="str">
        <f t="shared" si="137"/>
        <v>金盆岭街道</v>
      </c>
      <c r="D363" s="3" t="str">
        <f>"夏家冲社区"</f>
        <v>夏家冲社区</v>
      </c>
      <c r="E363" s="3" t="str">
        <f t="shared" si="124"/>
        <v>140</v>
      </c>
      <c r="F363" s="3" t="str">
        <f t="shared" si="122"/>
        <v>100</v>
      </c>
      <c r="G363" s="3" t="str">
        <f t="shared" si="138"/>
        <v>二级</v>
      </c>
    </row>
    <row r="364" customHeight="1" spans="1:7">
      <c r="A364" s="3" t="str">
        <f>"1563"</f>
        <v>1563</v>
      </c>
      <c r="B364" s="3" t="s">
        <v>1168</v>
      </c>
      <c r="C364" s="3" t="str">
        <f t="shared" si="136"/>
        <v>裕南街街道</v>
      </c>
      <c r="D364" s="3" t="str">
        <f>"长坡社区"</f>
        <v>长坡社区</v>
      </c>
      <c r="E364" s="3" t="str">
        <f t="shared" si="124"/>
        <v>140</v>
      </c>
      <c r="F364" s="3" t="str">
        <f t="shared" si="122"/>
        <v>100</v>
      </c>
      <c r="G364" s="3" t="str">
        <f>"一级"</f>
        <v>一级</v>
      </c>
    </row>
    <row r="365" customHeight="1" spans="1:7">
      <c r="A365" s="3" t="str">
        <f>"1564"</f>
        <v>1564</v>
      </c>
      <c r="B365" s="3" t="s">
        <v>146</v>
      </c>
      <c r="C365" s="3" t="str">
        <f t="shared" si="137"/>
        <v>金盆岭街道</v>
      </c>
      <c r="D365" s="3" t="str">
        <f>"涂新社区"</f>
        <v>涂新社区</v>
      </c>
      <c r="E365" s="3" t="str">
        <f t="shared" si="124"/>
        <v>140</v>
      </c>
      <c r="F365" s="3" t="str">
        <f t="shared" si="122"/>
        <v>100</v>
      </c>
      <c r="G365" s="3" t="str">
        <f t="shared" si="138"/>
        <v>二级</v>
      </c>
    </row>
    <row r="366" customHeight="1" spans="1:7">
      <c r="A366" s="3" t="str">
        <f>"1565"</f>
        <v>1565</v>
      </c>
      <c r="B366" s="3" t="s">
        <v>1169</v>
      </c>
      <c r="C366" s="3" t="str">
        <f t="shared" ref="C366:C373" si="139">"坡子街街道"</f>
        <v>坡子街街道</v>
      </c>
      <c r="D366" s="3" t="str">
        <f>"文庙坪社区"</f>
        <v>文庙坪社区</v>
      </c>
      <c r="E366" s="3" t="str">
        <f t="shared" si="124"/>
        <v>140</v>
      </c>
      <c r="F366" s="3" t="str">
        <f t="shared" si="122"/>
        <v>100</v>
      </c>
      <c r="G366" s="3" t="str">
        <f t="shared" si="138"/>
        <v>二级</v>
      </c>
    </row>
    <row r="367" customHeight="1" spans="1:7">
      <c r="A367" s="3" t="str">
        <f>"1566"</f>
        <v>1566</v>
      </c>
      <c r="B367" s="3" t="s">
        <v>110</v>
      </c>
      <c r="C367" s="3" t="str">
        <f>"南托街道"</f>
        <v>南托街道</v>
      </c>
      <c r="D367" s="3" t="str">
        <f>"沿江村"</f>
        <v>沿江村</v>
      </c>
      <c r="E367" s="3" t="str">
        <f t="shared" si="124"/>
        <v>140</v>
      </c>
      <c r="F367" s="3" t="str">
        <f t="shared" si="122"/>
        <v>100</v>
      </c>
      <c r="G367" s="3" t="str">
        <f t="shared" si="138"/>
        <v>二级</v>
      </c>
    </row>
    <row r="368" customHeight="1" spans="1:7">
      <c r="A368" s="3" t="str">
        <f>"1567"</f>
        <v>1567</v>
      </c>
      <c r="B368" s="3" t="s">
        <v>267</v>
      </c>
      <c r="C368" s="3" t="str">
        <f t="shared" si="139"/>
        <v>坡子街街道</v>
      </c>
      <c r="D368" s="3" t="str">
        <f>"碧湘社区"</f>
        <v>碧湘社区</v>
      </c>
      <c r="E368" s="3" t="str">
        <f t="shared" si="124"/>
        <v>140</v>
      </c>
      <c r="F368" s="3" t="str">
        <f t="shared" si="122"/>
        <v>100</v>
      </c>
      <c r="G368" s="3" t="str">
        <f t="shared" si="138"/>
        <v>二级</v>
      </c>
    </row>
    <row r="369" customHeight="1" spans="1:7">
      <c r="A369" s="3" t="str">
        <f>"1568"</f>
        <v>1568</v>
      </c>
      <c r="B369" s="3" t="s">
        <v>1170</v>
      </c>
      <c r="C369" s="3" t="str">
        <f>"暮云街道"</f>
        <v>暮云街道</v>
      </c>
      <c r="D369" s="3" t="str">
        <f>"莲华村"</f>
        <v>莲华村</v>
      </c>
      <c r="E369" s="3" t="str">
        <f t="shared" si="124"/>
        <v>140</v>
      </c>
      <c r="F369" s="3" t="str">
        <f t="shared" si="122"/>
        <v>100</v>
      </c>
      <c r="G369" s="3" t="str">
        <f t="shared" si="138"/>
        <v>二级</v>
      </c>
    </row>
    <row r="370" customHeight="1" spans="1:7">
      <c r="A370" s="3" t="str">
        <f>"1569"</f>
        <v>1569</v>
      </c>
      <c r="B370" s="3" t="s">
        <v>1171</v>
      </c>
      <c r="C370" s="3" t="str">
        <f>"金盆岭街道"</f>
        <v>金盆岭街道</v>
      </c>
      <c r="D370" s="3" t="str">
        <f>"夏家冲社区"</f>
        <v>夏家冲社区</v>
      </c>
      <c r="E370" s="3" t="str">
        <f t="shared" si="124"/>
        <v>140</v>
      </c>
      <c r="F370" s="3" t="str">
        <f t="shared" si="122"/>
        <v>100</v>
      </c>
      <c r="G370" s="3" t="str">
        <f t="shared" si="138"/>
        <v>二级</v>
      </c>
    </row>
    <row r="371" customHeight="1" spans="1:7">
      <c r="A371" s="3" t="str">
        <f>"1570"</f>
        <v>1570</v>
      </c>
      <c r="B371" s="3" t="s">
        <v>1172</v>
      </c>
      <c r="C371" s="3" t="str">
        <f t="shared" si="139"/>
        <v>坡子街街道</v>
      </c>
      <c r="D371" s="3" t="str">
        <f>"登仁桥社区"</f>
        <v>登仁桥社区</v>
      </c>
      <c r="E371" s="3" t="str">
        <f t="shared" si="124"/>
        <v>140</v>
      </c>
      <c r="F371" s="3" t="str">
        <f t="shared" si="122"/>
        <v>100</v>
      </c>
      <c r="G371" s="3" t="str">
        <f t="shared" si="138"/>
        <v>二级</v>
      </c>
    </row>
    <row r="372" customHeight="1" spans="1:7">
      <c r="A372" s="3" t="str">
        <f>"1571"</f>
        <v>1571</v>
      </c>
      <c r="B372" s="3" t="s">
        <v>146</v>
      </c>
      <c r="C372" s="3" t="str">
        <f t="shared" si="139"/>
        <v>坡子街街道</v>
      </c>
      <c r="D372" s="3" t="str">
        <f>"文庙坪社区"</f>
        <v>文庙坪社区</v>
      </c>
      <c r="E372" s="3" t="str">
        <f t="shared" si="124"/>
        <v>140</v>
      </c>
      <c r="F372" s="3" t="str">
        <f t="shared" si="122"/>
        <v>100</v>
      </c>
      <c r="G372" s="3" t="str">
        <f t="shared" si="138"/>
        <v>二级</v>
      </c>
    </row>
    <row r="373" customHeight="1" spans="1:7">
      <c r="A373" s="3" t="str">
        <f>"1572"</f>
        <v>1572</v>
      </c>
      <c r="B373" s="3" t="s">
        <v>1173</v>
      </c>
      <c r="C373" s="3" t="str">
        <f t="shared" si="139"/>
        <v>坡子街街道</v>
      </c>
      <c r="D373" s="3" t="str">
        <f>"坡子街社区"</f>
        <v>坡子街社区</v>
      </c>
      <c r="E373" s="3" t="str">
        <f t="shared" si="124"/>
        <v>140</v>
      </c>
      <c r="F373" s="3" t="str">
        <f t="shared" si="122"/>
        <v>100</v>
      </c>
      <c r="G373" s="3" t="str">
        <f t="shared" si="138"/>
        <v>二级</v>
      </c>
    </row>
    <row r="374" customHeight="1" spans="1:7">
      <c r="A374" s="3" t="str">
        <f>"1573"</f>
        <v>1573</v>
      </c>
      <c r="B374" s="3" t="s">
        <v>146</v>
      </c>
      <c r="C374" s="3" t="str">
        <f>"新开铺街道"</f>
        <v>新开铺街道</v>
      </c>
      <c r="D374" s="3" t="str">
        <f>"新开铺社区"</f>
        <v>新开铺社区</v>
      </c>
      <c r="E374" s="3" t="str">
        <f t="shared" si="124"/>
        <v>140</v>
      </c>
      <c r="F374" s="3" t="str">
        <f t="shared" si="122"/>
        <v>100</v>
      </c>
      <c r="G374" s="3" t="str">
        <f t="shared" si="138"/>
        <v>二级</v>
      </c>
    </row>
    <row r="375" customHeight="1" spans="1:7">
      <c r="A375" s="3" t="str">
        <f>"1574"</f>
        <v>1574</v>
      </c>
      <c r="B375" s="3" t="s">
        <v>1174</v>
      </c>
      <c r="C375" s="3" t="str">
        <f>"金盆岭街道"</f>
        <v>金盆岭街道</v>
      </c>
      <c r="D375" s="3" t="str">
        <f>"天剑社区"</f>
        <v>天剑社区</v>
      </c>
      <c r="E375" s="3" t="str">
        <f t="shared" si="124"/>
        <v>140</v>
      </c>
      <c r="F375" s="3" t="str">
        <f t="shared" si="122"/>
        <v>100</v>
      </c>
      <c r="G375" s="3" t="str">
        <f t="shared" si="138"/>
        <v>二级</v>
      </c>
    </row>
    <row r="376" customHeight="1" spans="1:7">
      <c r="A376" s="3" t="str">
        <f>"1575"</f>
        <v>1575</v>
      </c>
      <c r="B376" s="3" t="s">
        <v>1175</v>
      </c>
      <c r="C376" s="3" t="str">
        <f>"青园街道"</f>
        <v>青园街道</v>
      </c>
      <c r="D376" s="3" t="str">
        <f>"井湾子社区"</f>
        <v>井湾子社区</v>
      </c>
      <c r="E376" s="3" t="str">
        <f t="shared" si="124"/>
        <v>140</v>
      </c>
      <c r="F376" s="3" t="str">
        <f t="shared" si="122"/>
        <v>100</v>
      </c>
      <c r="G376" s="3" t="str">
        <f t="shared" ref="G376:G379" si="140">"一级"</f>
        <v>一级</v>
      </c>
    </row>
    <row r="377" customHeight="1" spans="1:7">
      <c r="A377" s="3" t="str">
        <f>"1576"</f>
        <v>1576</v>
      </c>
      <c r="B377" s="3" t="s">
        <v>1176</v>
      </c>
      <c r="C377" s="3" t="str">
        <f>"裕南街街道"</f>
        <v>裕南街街道</v>
      </c>
      <c r="D377" s="3" t="str">
        <f>"仰天湖社区"</f>
        <v>仰天湖社区</v>
      </c>
      <c r="E377" s="3" t="str">
        <f t="shared" si="124"/>
        <v>140</v>
      </c>
      <c r="F377" s="3" t="str">
        <f t="shared" si="122"/>
        <v>100</v>
      </c>
      <c r="G377" s="3" t="str">
        <f t="shared" si="140"/>
        <v>一级</v>
      </c>
    </row>
    <row r="378" customHeight="1" spans="1:7">
      <c r="A378" s="3" t="str">
        <f>"1577"</f>
        <v>1577</v>
      </c>
      <c r="B378" s="3" t="s">
        <v>1177</v>
      </c>
      <c r="C378" s="3" t="str">
        <f>"先锋街道"</f>
        <v>先锋街道</v>
      </c>
      <c r="D378" s="3" t="str">
        <f>"新宇社区"</f>
        <v>新宇社区</v>
      </c>
      <c r="E378" s="3" t="str">
        <f t="shared" si="124"/>
        <v>140</v>
      </c>
      <c r="F378" s="3" t="str">
        <f t="shared" si="122"/>
        <v>100</v>
      </c>
      <c r="G378" s="3" t="str">
        <f t="shared" ref="G378:G383" si="141">"二级"</f>
        <v>二级</v>
      </c>
    </row>
    <row r="379" customHeight="1" spans="1:7">
      <c r="A379" s="3" t="str">
        <f>"1578"</f>
        <v>1578</v>
      </c>
      <c r="B379" s="3" t="s">
        <v>1178</v>
      </c>
      <c r="C379" s="3" t="str">
        <f>"赤岭路街道"</f>
        <v>赤岭路街道</v>
      </c>
      <c r="D379" s="3" t="str">
        <f>"白沙花园社区"</f>
        <v>白沙花园社区</v>
      </c>
      <c r="E379" s="3" t="str">
        <f t="shared" si="124"/>
        <v>140</v>
      </c>
      <c r="F379" s="3" t="str">
        <f t="shared" si="122"/>
        <v>100</v>
      </c>
      <c r="G379" s="3" t="str">
        <f t="shared" si="140"/>
        <v>一级</v>
      </c>
    </row>
    <row r="380" customHeight="1" spans="1:7">
      <c r="A380" s="3" t="str">
        <f>"1579"</f>
        <v>1579</v>
      </c>
      <c r="B380" s="3" t="s">
        <v>32</v>
      </c>
      <c r="C380" s="3" t="str">
        <f>"青园街道"</f>
        <v>青园街道</v>
      </c>
      <c r="D380" s="3" t="str">
        <f>"湘园社区"</f>
        <v>湘园社区</v>
      </c>
      <c r="E380" s="3" t="str">
        <f t="shared" si="124"/>
        <v>140</v>
      </c>
      <c r="F380" s="3" t="str">
        <f t="shared" si="122"/>
        <v>100</v>
      </c>
      <c r="G380" s="3" t="str">
        <f t="shared" si="141"/>
        <v>二级</v>
      </c>
    </row>
    <row r="381" customHeight="1" spans="1:7">
      <c r="A381" s="3" t="str">
        <f>"1580"</f>
        <v>1580</v>
      </c>
      <c r="B381" s="3" t="s">
        <v>1179</v>
      </c>
      <c r="C381" s="3" t="str">
        <f>"坡子街街道"</f>
        <v>坡子街街道</v>
      </c>
      <c r="D381" s="3" t="str">
        <f>"创远社区"</f>
        <v>创远社区</v>
      </c>
      <c r="E381" s="3" t="str">
        <f t="shared" si="124"/>
        <v>140</v>
      </c>
      <c r="F381" s="3" t="str">
        <f t="shared" si="122"/>
        <v>100</v>
      </c>
      <c r="G381" s="3" t="str">
        <f t="shared" si="141"/>
        <v>二级</v>
      </c>
    </row>
    <row r="382" customHeight="1" spans="1:7">
      <c r="A382" s="3" t="str">
        <f>"1581"</f>
        <v>1581</v>
      </c>
      <c r="B382" s="3" t="s">
        <v>1180</v>
      </c>
      <c r="C382" s="3" t="str">
        <f>"赤岭路街道"</f>
        <v>赤岭路街道</v>
      </c>
      <c r="D382" s="3" t="str">
        <f>"新丰社区"</f>
        <v>新丰社区</v>
      </c>
      <c r="E382" s="3" t="str">
        <f t="shared" si="124"/>
        <v>140</v>
      </c>
      <c r="F382" s="3" t="str">
        <f t="shared" si="122"/>
        <v>100</v>
      </c>
      <c r="G382" s="3" t="str">
        <f t="shared" si="141"/>
        <v>二级</v>
      </c>
    </row>
    <row r="383" customHeight="1" spans="1:7">
      <c r="A383" s="3" t="str">
        <f>"1582"</f>
        <v>1582</v>
      </c>
      <c r="B383" s="3" t="s">
        <v>1181</v>
      </c>
      <c r="C383" s="3" t="str">
        <f>"金盆岭街道"</f>
        <v>金盆岭街道</v>
      </c>
      <c r="D383" s="3" t="str">
        <f>"天剑社区"</f>
        <v>天剑社区</v>
      </c>
      <c r="E383" s="3" t="str">
        <f t="shared" si="124"/>
        <v>140</v>
      </c>
      <c r="F383" s="3" t="str">
        <f t="shared" ref="F383:F446" si="142">"100"</f>
        <v>100</v>
      </c>
      <c r="G383" s="3" t="str">
        <f t="shared" si="141"/>
        <v>二级</v>
      </c>
    </row>
    <row r="384" customHeight="1" spans="1:7">
      <c r="A384" s="3" t="str">
        <f>"1583"</f>
        <v>1583</v>
      </c>
      <c r="B384" s="3" t="s">
        <v>1182</v>
      </c>
      <c r="C384" s="3" t="str">
        <f>"城南路街道"</f>
        <v>城南路街道</v>
      </c>
      <c r="D384" s="3" t="str">
        <f>"天心阁社区"</f>
        <v>天心阁社区</v>
      </c>
      <c r="E384" s="3" t="str">
        <f t="shared" si="124"/>
        <v>140</v>
      </c>
      <c r="F384" s="3" t="str">
        <f t="shared" si="142"/>
        <v>100</v>
      </c>
      <c r="G384" s="3" t="str">
        <f>"一级"</f>
        <v>一级</v>
      </c>
    </row>
    <row r="385" customHeight="1" spans="1:7">
      <c r="A385" s="3" t="str">
        <f>"1584"</f>
        <v>1584</v>
      </c>
      <c r="B385" s="3" t="s">
        <v>126</v>
      </c>
      <c r="C385" s="3" t="str">
        <f>"坡子街街道"</f>
        <v>坡子街街道</v>
      </c>
      <c r="D385" s="3" t="str">
        <f>"登仁桥社区"</f>
        <v>登仁桥社区</v>
      </c>
      <c r="E385" s="3" t="str">
        <f t="shared" si="124"/>
        <v>140</v>
      </c>
      <c r="F385" s="3" t="str">
        <f t="shared" si="142"/>
        <v>100</v>
      </c>
      <c r="G385" s="3" t="str">
        <f t="shared" ref="G385:G395" si="143">"二级"</f>
        <v>二级</v>
      </c>
    </row>
    <row r="386" customHeight="1" spans="1:7">
      <c r="A386" s="3" t="str">
        <f>"1585"</f>
        <v>1585</v>
      </c>
      <c r="B386" s="3" t="s">
        <v>1183</v>
      </c>
      <c r="C386" s="3" t="str">
        <f>"裕南街街道"</f>
        <v>裕南街街道</v>
      </c>
      <c r="D386" s="3" t="str">
        <f>"东瓜山社区"</f>
        <v>东瓜山社区</v>
      </c>
      <c r="E386" s="3" t="str">
        <f t="shared" ref="E386:E449" si="144">"140"</f>
        <v>140</v>
      </c>
      <c r="F386" s="3" t="str">
        <f t="shared" si="142"/>
        <v>100</v>
      </c>
      <c r="G386" s="3" t="str">
        <f>"一级"</f>
        <v>一级</v>
      </c>
    </row>
    <row r="387" customHeight="1" spans="1:7">
      <c r="A387" s="3" t="str">
        <f>"1586"</f>
        <v>1586</v>
      </c>
      <c r="B387" s="3" t="s">
        <v>418</v>
      </c>
      <c r="C387" s="3" t="str">
        <f>"先锋街道"</f>
        <v>先锋街道</v>
      </c>
      <c r="D387" s="3" t="str">
        <f>"新路村委会"</f>
        <v>新路村委会</v>
      </c>
      <c r="E387" s="3" t="str">
        <f t="shared" si="144"/>
        <v>140</v>
      </c>
      <c r="F387" s="3" t="str">
        <f t="shared" si="142"/>
        <v>100</v>
      </c>
      <c r="G387" s="3" t="str">
        <f t="shared" si="143"/>
        <v>二级</v>
      </c>
    </row>
    <row r="388" customHeight="1" spans="1:7">
      <c r="A388" s="3" t="str">
        <f>"1587"</f>
        <v>1587</v>
      </c>
      <c r="B388" s="3" t="s">
        <v>256</v>
      </c>
      <c r="C388" s="3" t="str">
        <f>"文源街道"</f>
        <v>文源街道</v>
      </c>
      <c r="D388" s="3" t="str">
        <f>"金汇社区"</f>
        <v>金汇社区</v>
      </c>
      <c r="E388" s="3" t="str">
        <f t="shared" si="144"/>
        <v>140</v>
      </c>
      <c r="F388" s="3" t="str">
        <f t="shared" si="142"/>
        <v>100</v>
      </c>
      <c r="G388" s="3" t="str">
        <f t="shared" si="143"/>
        <v>二级</v>
      </c>
    </row>
    <row r="389" customHeight="1" spans="1:7">
      <c r="A389" s="3" t="str">
        <f>"1588"</f>
        <v>1588</v>
      </c>
      <c r="B389" s="3" t="s">
        <v>1184</v>
      </c>
      <c r="C389" s="3" t="str">
        <f>"赤岭路街道"</f>
        <v>赤岭路街道</v>
      </c>
      <c r="D389" s="3" t="str">
        <f>"猴子石社区"</f>
        <v>猴子石社区</v>
      </c>
      <c r="E389" s="3" t="str">
        <f t="shared" si="144"/>
        <v>140</v>
      </c>
      <c r="F389" s="3" t="str">
        <f t="shared" si="142"/>
        <v>100</v>
      </c>
      <c r="G389" s="3" t="str">
        <f t="shared" si="143"/>
        <v>二级</v>
      </c>
    </row>
    <row r="390" customHeight="1" spans="1:7">
      <c r="A390" s="3" t="str">
        <f>"1589"</f>
        <v>1589</v>
      </c>
      <c r="B390" s="3" t="s">
        <v>125</v>
      </c>
      <c r="C390" s="3" t="str">
        <f>"新开铺街道"</f>
        <v>新开铺街道</v>
      </c>
      <c r="D390" s="3" t="str">
        <f>"新天社区"</f>
        <v>新天社区</v>
      </c>
      <c r="E390" s="3" t="str">
        <f t="shared" si="144"/>
        <v>140</v>
      </c>
      <c r="F390" s="3" t="str">
        <f t="shared" si="142"/>
        <v>100</v>
      </c>
      <c r="G390" s="3" t="str">
        <f t="shared" si="143"/>
        <v>二级</v>
      </c>
    </row>
    <row r="391" customHeight="1" spans="1:7">
      <c r="A391" s="3" t="str">
        <f>"1590"</f>
        <v>1590</v>
      </c>
      <c r="B391" s="3" t="s">
        <v>266</v>
      </c>
      <c r="C391" s="3" t="str">
        <f>"青园街道"</f>
        <v>青园街道</v>
      </c>
      <c r="D391" s="3" t="str">
        <f>"井湾子社区"</f>
        <v>井湾子社区</v>
      </c>
      <c r="E391" s="3" t="str">
        <f t="shared" si="144"/>
        <v>140</v>
      </c>
      <c r="F391" s="3" t="str">
        <f t="shared" si="142"/>
        <v>100</v>
      </c>
      <c r="G391" s="3" t="str">
        <f t="shared" si="143"/>
        <v>二级</v>
      </c>
    </row>
    <row r="392" customHeight="1" spans="1:7">
      <c r="A392" s="3" t="str">
        <f>"1591"</f>
        <v>1591</v>
      </c>
      <c r="B392" s="3" t="s">
        <v>76</v>
      </c>
      <c r="C392" s="3" t="str">
        <f>"金盆岭街道"</f>
        <v>金盆岭街道</v>
      </c>
      <c r="D392" s="3" t="str">
        <f>"涂新社区"</f>
        <v>涂新社区</v>
      </c>
      <c r="E392" s="3" t="str">
        <f t="shared" si="144"/>
        <v>140</v>
      </c>
      <c r="F392" s="3" t="str">
        <f t="shared" si="142"/>
        <v>100</v>
      </c>
      <c r="G392" s="3" t="str">
        <f t="shared" si="143"/>
        <v>二级</v>
      </c>
    </row>
    <row r="393" customHeight="1" spans="1:7">
      <c r="A393" s="3" t="str">
        <f>"1592"</f>
        <v>1592</v>
      </c>
      <c r="B393" s="3" t="s">
        <v>267</v>
      </c>
      <c r="C393" s="3" t="str">
        <f t="shared" ref="C393:C397" si="145">"坡子街街道"</f>
        <v>坡子街街道</v>
      </c>
      <c r="D393" s="3" t="str">
        <f>"西湖社区"</f>
        <v>西湖社区</v>
      </c>
      <c r="E393" s="3" t="str">
        <f t="shared" si="144"/>
        <v>140</v>
      </c>
      <c r="F393" s="3" t="str">
        <f t="shared" si="142"/>
        <v>100</v>
      </c>
      <c r="G393" s="3" t="str">
        <f t="shared" si="143"/>
        <v>二级</v>
      </c>
    </row>
    <row r="394" customHeight="1" spans="1:7">
      <c r="A394" s="3" t="str">
        <f>"1593"</f>
        <v>1593</v>
      </c>
      <c r="B394" s="3" t="s">
        <v>462</v>
      </c>
      <c r="C394" s="3" t="str">
        <f t="shared" si="145"/>
        <v>坡子街街道</v>
      </c>
      <c r="D394" s="3" t="str">
        <f>"登仁桥社区"</f>
        <v>登仁桥社区</v>
      </c>
      <c r="E394" s="3" t="str">
        <f t="shared" si="144"/>
        <v>140</v>
      </c>
      <c r="F394" s="3" t="str">
        <f t="shared" si="142"/>
        <v>100</v>
      </c>
      <c r="G394" s="3" t="str">
        <f t="shared" si="143"/>
        <v>二级</v>
      </c>
    </row>
    <row r="395" customHeight="1" spans="1:7">
      <c r="A395" s="3" t="str">
        <f>"1594"</f>
        <v>1594</v>
      </c>
      <c r="B395" s="3" t="s">
        <v>1185</v>
      </c>
      <c r="C395" s="3" t="str">
        <f t="shared" si="145"/>
        <v>坡子街街道</v>
      </c>
      <c r="D395" s="3" t="str">
        <f>"文庙坪社区"</f>
        <v>文庙坪社区</v>
      </c>
      <c r="E395" s="3" t="str">
        <f t="shared" si="144"/>
        <v>140</v>
      </c>
      <c r="F395" s="3" t="str">
        <f t="shared" si="142"/>
        <v>100</v>
      </c>
      <c r="G395" s="3" t="str">
        <f t="shared" si="143"/>
        <v>二级</v>
      </c>
    </row>
    <row r="396" customHeight="1" spans="1:7">
      <c r="A396" s="3" t="str">
        <f>"1595"</f>
        <v>1595</v>
      </c>
      <c r="B396" s="3" t="s">
        <v>266</v>
      </c>
      <c r="C396" s="3" t="str">
        <f t="shared" si="145"/>
        <v>坡子街街道</v>
      </c>
      <c r="D396" s="3" t="str">
        <f>"登仁桥社区"</f>
        <v>登仁桥社区</v>
      </c>
      <c r="E396" s="3" t="str">
        <f t="shared" si="144"/>
        <v>140</v>
      </c>
      <c r="F396" s="3" t="str">
        <f t="shared" si="142"/>
        <v>100</v>
      </c>
      <c r="G396" s="3" t="str">
        <f t="shared" ref="G396:G400" si="146">"一级"</f>
        <v>一级</v>
      </c>
    </row>
    <row r="397" customHeight="1" spans="1:7">
      <c r="A397" s="3" t="str">
        <f>"1596"</f>
        <v>1596</v>
      </c>
      <c r="B397" s="3" t="s">
        <v>47</v>
      </c>
      <c r="C397" s="3" t="str">
        <f t="shared" si="145"/>
        <v>坡子街街道</v>
      </c>
      <c r="D397" s="3" t="str">
        <f>"青山祠社区"</f>
        <v>青山祠社区</v>
      </c>
      <c r="E397" s="3" t="str">
        <f t="shared" si="144"/>
        <v>140</v>
      </c>
      <c r="F397" s="3" t="str">
        <f t="shared" si="142"/>
        <v>100</v>
      </c>
      <c r="G397" s="3" t="str">
        <f t="shared" ref="G397:G402" si="147">"二级"</f>
        <v>二级</v>
      </c>
    </row>
    <row r="398" customHeight="1" spans="1:7">
      <c r="A398" s="3" t="str">
        <f>"1597"</f>
        <v>1597</v>
      </c>
      <c r="B398" s="3" t="s">
        <v>1186</v>
      </c>
      <c r="C398" s="3" t="str">
        <f>"先锋街道"</f>
        <v>先锋街道</v>
      </c>
      <c r="D398" s="3" t="str">
        <f>"嘉和社区"</f>
        <v>嘉和社区</v>
      </c>
      <c r="E398" s="3" t="str">
        <f t="shared" si="144"/>
        <v>140</v>
      </c>
      <c r="F398" s="3" t="str">
        <f t="shared" si="142"/>
        <v>100</v>
      </c>
      <c r="G398" s="3" t="str">
        <f t="shared" si="147"/>
        <v>二级</v>
      </c>
    </row>
    <row r="399" customHeight="1" spans="1:7">
      <c r="A399" s="3" t="str">
        <f>"1598"</f>
        <v>1598</v>
      </c>
      <c r="B399" s="3" t="s">
        <v>1187</v>
      </c>
      <c r="C399" s="3" t="str">
        <f t="shared" ref="C399:C401" si="148">"坡子街街道"</f>
        <v>坡子街街道</v>
      </c>
      <c r="D399" s="3" t="str">
        <f>"碧湘社区"</f>
        <v>碧湘社区</v>
      </c>
      <c r="E399" s="3" t="str">
        <f t="shared" si="144"/>
        <v>140</v>
      </c>
      <c r="F399" s="3" t="str">
        <f t="shared" si="142"/>
        <v>100</v>
      </c>
      <c r="G399" s="3" t="str">
        <f t="shared" si="146"/>
        <v>一级</v>
      </c>
    </row>
    <row r="400" customHeight="1" spans="1:7">
      <c r="A400" s="3" t="str">
        <f>"1599"</f>
        <v>1599</v>
      </c>
      <c r="B400" s="3" t="s">
        <v>1188</v>
      </c>
      <c r="C400" s="3" t="str">
        <f t="shared" si="148"/>
        <v>坡子街街道</v>
      </c>
      <c r="D400" s="3" t="str">
        <f>"文庙坪社区"</f>
        <v>文庙坪社区</v>
      </c>
      <c r="E400" s="3" t="str">
        <f t="shared" si="144"/>
        <v>140</v>
      </c>
      <c r="F400" s="3" t="str">
        <f t="shared" si="142"/>
        <v>100</v>
      </c>
      <c r="G400" s="3" t="str">
        <f t="shared" si="146"/>
        <v>一级</v>
      </c>
    </row>
    <row r="401" customHeight="1" spans="1:7">
      <c r="A401" s="3" t="str">
        <f>"1600"</f>
        <v>1600</v>
      </c>
      <c r="B401" s="3" t="s">
        <v>68</v>
      </c>
      <c r="C401" s="3" t="str">
        <f t="shared" si="148"/>
        <v>坡子街街道</v>
      </c>
      <c r="D401" s="3" t="str">
        <f>"登仁桥社区"</f>
        <v>登仁桥社区</v>
      </c>
      <c r="E401" s="3" t="str">
        <f t="shared" si="144"/>
        <v>140</v>
      </c>
      <c r="F401" s="3" t="str">
        <f t="shared" si="142"/>
        <v>100</v>
      </c>
      <c r="G401" s="3" t="str">
        <f t="shared" si="147"/>
        <v>二级</v>
      </c>
    </row>
    <row r="402" customHeight="1" spans="1:7">
      <c r="A402" s="3" t="str">
        <f>"1601"</f>
        <v>1601</v>
      </c>
      <c r="B402" s="3" t="s">
        <v>141</v>
      </c>
      <c r="C402" s="3" t="str">
        <f>"青园街道"</f>
        <v>青园街道</v>
      </c>
      <c r="D402" s="3" t="str">
        <f>"青园社区"</f>
        <v>青园社区</v>
      </c>
      <c r="E402" s="3" t="str">
        <f t="shared" si="144"/>
        <v>140</v>
      </c>
      <c r="F402" s="3" t="str">
        <f t="shared" si="142"/>
        <v>100</v>
      </c>
      <c r="G402" s="3" t="str">
        <f t="shared" si="147"/>
        <v>二级</v>
      </c>
    </row>
    <row r="403" customHeight="1" spans="1:7">
      <c r="A403" s="3" t="str">
        <f>"1602"</f>
        <v>1602</v>
      </c>
      <c r="B403" s="3" t="s">
        <v>1189</v>
      </c>
      <c r="C403" s="3" t="str">
        <f>"赤岭路街道"</f>
        <v>赤岭路街道</v>
      </c>
      <c r="D403" s="3" t="str">
        <f>"白沙花园社区"</f>
        <v>白沙花园社区</v>
      </c>
      <c r="E403" s="3" t="str">
        <f t="shared" si="144"/>
        <v>140</v>
      </c>
      <c r="F403" s="3" t="str">
        <f t="shared" si="142"/>
        <v>100</v>
      </c>
      <c r="G403" s="3" t="str">
        <f t="shared" ref="G403:G406" si="149">"一级"</f>
        <v>一级</v>
      </c>
    </row>
    <row r="404" customHeight="1" spans="1:7">
      <c r="A404" s="3" t="str">
        <f>"1603"</f>
        <v>1603</v>
      </c>
      <c r="B404" s="3" t="s">
        <v>72</v>
      </c>
      <c r="C404" s="3" t="str">
        <f>"城南路街道"</f>
        <v>城南路街道</v>
      </c>
      <c r="D404" s="3" t="str">
        <f>"白沙井社区"</f>
        <v>白沙井社区</v>
      </c>
      <c r="E404" s="3" t="str">
        <f t="shared" si="144"/>
        <v>140</v>
      </c>
      <c r="F404" s="3" t="str">
        <f t="shared" si="142"/>
        <v>100</v>
      </c>
      <c r="G404" s="3" t="str">
        <f t="shared" ref="G404:G410" si="150">"二级"</f>
        <v>二级</v>
      </c>
    </row>
    <row r="405" customHeight="1" spans="1:7">
      <c r="A405" s="3" t="str">
        <f>"1604"</f>
        <v>1604</v>
      </c>
      <c r="B405" s="3" t="s">
        <v>1190</v>
      </c>
      <c r="C405" s="3" t="str">
        <f>"城南路街道"</f>
        <v>城南路街道</v>
      </c>
      <c r="D405" s="3" t="str">
        <f>"熙台岭社区"</f>
        <v>熙台岭社区</v>
      </c>
      <c r="E405" s="3" t="str">
        <f t="shared" si="144"/>
        <v>140</v>
      </c>
      <c r="F405" s="3" t="str">
        <f t="shared" si="142"/>
        <v>100</v>
      </c>
      <c r="G405" s="3" t="str">
        <f t="shared" si="149"/>
        <v>一级</v>
      </c>
    </row>
    <row r="406" customHeight="1" spans="1:7">
      <c r="A406" s="3" t="str">
        <f>"1605"</f>
        <v>1605</v>
      </c>
      <c r="B406" s="3" t="s">
        <v>139</v>
      </c>
      <c r="C406" s="3" t="str">
        <f>"裕南街街道"</f>
        <v>裕南街街道</v>
      </c>
      <c r="D406" s="3" t="str">
        <f>"东瓜山社区"</f>
        <v>东瓜山社区</v>
      </c>
      <c r="E406" s="3" t="str">
        <f t="shared" si="144"/>
        <v>140</v>
      </c>
      <c r="F406" s="3" t="str">
        <f t="shared" si="142"/>
        <v>100</v>
      </c>
      <c r="G406" s="3" t="str">
        <f t="shared" si="149"/>
        <v>一级</v>
      </c>
    </row>
    <row r="407" customHeight="1" spans="1:7">
      <c r="A407" s="3" t="str">
        <f>"1606"</f>
        <v>1606</v>
      </c>
      <c r="B407" s="3" t="s">
        <v>267</v>
      </c>
      <c r="C407" s="3" t="str">
        <f>"裕南街街道"</f>
        <v>裕南街街道</v>
      </c>
      <c r="D407" s="3" t="str">
        <f>"裕南街社区"</f>
        <v>裕南街社区</v>
      </c>
      <c r="E407" s="3" t="str">
        <f t="shared" si="144"/>
        <v>140</v>
      </c>
      <c r="F407" s="3" t="str">
        <f t="shared" si="142"/>
        <v>100</v>
      </c>
      <c r="G407" s="3" t="str">
        <f t="shared" si="150"/>
        <v>二级</v>
      </c>
    </row>
    <row r="408" customHeight="1" spans="1:7">
      <c r="A408" s="3" t="str">
        <f>"1607"</f>
        <v>1607</v>
      </c>
      <c r="B408" s="3" t="s">
        <v>489</v>
      </c>
      <c r="C408" s="3" t="str">
        <f>"金盆岭街道"</f>
        <v>金盆岭街道</v>
      </c>
      <c r="D408" s="3" t="str">
        <f>"涂新社区"</f>
        <v>涂新社区</v>
      </c>
      <c r="E408" s="3" t="str">
        <f t="shared" si="144"/>
        <v>140</v>
      </c>
      <c r="F408" s="3" t="str">
        <f t="shared" si="142"/>
        <v>100</v>
      </c>
      <c r="G408" s="3" t="str">
        <f t="shared" si="150"/>
        <v>二级</v>
      </c>
    </row>
    <row r="409" customHeight="1" spans="1:7">
      <c r="A409" s="3" t="str">
        <f>"1608"</f>
        <v>1608</v>
      </c>
      <c r="B409" s="3" t="s">
        <v>1191</v>
      </c>
      <c r="C409" s="3" t="str">
        <f>"坡子街街道"</f>
        <v>坡子街街道</v>
      </c>
      <c r="D409" s="3" t="str">
        <f>"登仁桥社区"</f>
        <v>登仁桥社区</v>
      </c>
      <c r="E409" s="3" t="str">
        <f t="shared" si="144"/>
        <v>140</v>
      </c>
      <c r="F409" s="3" t="str">
        <f t="shared" si="142"/>
        <v>100</v>
      </c>
      <c r="G409" s="3" t="str">
        <f t="shared" si="150"/>
        <v>二级</v>
      </c>
    </row>
    <row r="410" customHeight="1" spans="1:7">
      <c r="A410" s="3" t="str">
        <f>"1609"</f>
        <v>1609</v>
      </c>
      <c r="B410" s="3" t="s">
        <v>428</v>
      </c>
      <c r="C410" s="3" t="str">
        <f>"新开铺街道"</f>
        <v>新开铺街道</v>
      </c>
      <c r="D410" s="3" t="str">
        <f>"新开铺社区"</f>
        <v>新开铺社区</v>
      </c>
      <c r="E410" s="3" t="str">
        <f t="shared" si="144"/>
        <v>140</v>
      </c>
      <c r="F410" s="3" t="str">
        <f t="shared" si="142"/>
        <v>100</v>
      </c>
      <c r="G410" s="3" t="str">
        <f t="shared" si="150"/>
        <v>二级</v>
      </c>
    </row>
    <row r="411" customHeight="1" spans="1:7">
      <c r="A411" s="3" t="str">
        <f>"1610"</f>
        <v>1610</v>
      </c>
      <c r="B411" s="3" t="s">
        <v>1192</v>
      </c>
      <c r="C411" s="3" t="str">
        <f>"城南路街道"</f>
        <v>城南路街道</v>
      </c>
      <c r="D411" s="3" t="str">
        <f>"白沙井社区"</f>
        <v>白沙井社区</v>
      </c>
      <c r="E411" s="3" t="str">
        <f t="shared" si="144"/>
        <v>140</v>
      </c>
      <c r="F411" s="3" t="str">
        <f t="shared" si="142"/>
        <v>100</v>
      </c>
      <c r="G411" s="3" t="str">
        <f t="shared" ref="G411:G416" si="151">"一级"</f>
        <v>一级</v>
      </c>
    </row>
    <row r="412" customHeight="1" spans="1:7">
      <c r="A412" s="3" t="str">
        <f>"1611"</f>
        <v>1611</v>
      </c>
      <c r="B412" s="3" t="s">
        <v>721</v>
      </c>
      <c r="C412" s="3" t="str">
        <f>"赤岭路街道"</f>
        <v>赤岭路街道</v>
      </c>
      <c r="D412" s="3" t="str">
        <f>"猴子石社区"</f>
        <v>猴子石社区</v>
      </c>
      <c r="E412" s="3" t="str">
        <f t="shared" si="144"/>
        <v>140</v>
      </c>
      <c r="F412" s="3" t="str">
        <f t="shared" si="142"/>
        <v>100</v>
      </c>
      <c r="G412" s="3" t="str">
        <f t="shared" si="151"/>
        <v>一级</v>
      </c>
    </row>
    <row r="413" customHeight="1" spans="1:7">
      <c r="A413" s="3" t="str">
        <f>"1612"</f>
        <v>1612</v>
      </c>
      <c r="B413" s="3" t="s">
        <v>1193</v>
      </c>
      <c r="C413" s="3" t="str">
        <f t="shared" ref="C413:C417" si="152">"裕南街街道"</f>
        <v>裕南街街道</v>
      </c>
      <c r="D413" s="3" t="str">
        <f>"向东南社区"</f>
        <v>向东南社区</v>
      </c>
      <c r="E413" s="3" t="str">
        <f t="shared" si="144"/>
        <v>140</v>
      </c>
      <c r="F413" s="3" t="str">
        <f t="shared" si="142"/>
        <v>100</v>
      </c>
      <c r="G413" s="3" t="str">
        <f t="shared" ref="G413:G415" si="153">"二级"</f>
        <v>二级</v>
      </c>
    </row>
    <row r="414" customHeight="1" spans="1:7">
      <c r="A414" s="3" t="str">
        <f>"1613"</f>
        <v>1613</v>
      </c>
      <c r="B414" s="3" t="s">
        <v>139</v>
      </c>
      <c r="C414" s="3" t="str">
        <f t="shared" si="152"/>
        <v>裕南街街道</v>
      </c>
      <c r="D414" s="3" t="str">
        <f>"裕南街社区"</f>
        <v>裕南街社区</v>
      </c>
      <c r="E414" s="3" t="str">
        <f t="shared" si="144"/>
        <v>140</v>
      </c>
      <c r="F414" s="3" t="str">
        <f t="shared" si="142"/>
        <v>100</v>
      </c>
      <c r="G414" s="3" t="str">
        <f t="shared" si="153"/>
        <v>二级</v>
      </c>
    </row>
    <row r="415" customHeight="1" spans="1:7">
      <c r="A415" s="3" t="str">
        <f>"1614"</f>
        <v>1614</v>
      </c>
      <c r="B415" s="3" t="s">
        <v>32</v>
      </c>
      <c r="C415" s="3" t="str">
        <f>"黑石铺街道"</f>
        <v>黑石铺街道</v>
      </c>
      <c r="D415" s="3" t="str">
        <f>"披塘村委会"</f>
        <v>披塘村委会</v>
      </c>
      <c r="E415" s="3" t="str">
        <f t="shared" si="144"/>
        <v>140</v>
      </c>
      <c r="F415" s="3" t="str">
        <f t="shared" si="142"/>
        <v>100</v>
      </c>
      <c r="G415" s="3" t="str">
        <f t="shared" si="153"/>
        <v>二级</v>
      </c>
    </row>
    <row r="416" customHeight="1" spans="1:7">
      <c r="A416" s="3" t="str">
        <f>"1615"</f>
        <v>1615</v>
      </c>
      <c r="B416" s="3" t="s">
        <v>68</v>
      </c>
      <c r="C416" s="3" t="str">
        <f>"城南路街道"</f>
        <v>城南路街道</v>
      </c>
      <c r="D416" s="3" t="str">
        <f>"熙台岭社区"</f>
        <v>熙台岭社区</v>
      </c>
      <c r="E416" s="3" t="str">
        <f t="shared" si="144"/>
        <v>140</v>
      </c>
      <c r="F416" s="3" t="str">
        <f t="shared" si="142"/>
        <v>100</v>
      </c>
      <c r="G416" s="3" t="str">
        <f t="shared" si="151"/>
        <v>一级</v>
      </c>
    </row>
    <row r="417" customHeight="1" spans="1:7">
      <c r="A417" s="3" t="str">
        <f>"1616"</f>
        <v>1616</v>
      </c>
      <c r="B417" s="3" t="s">
        <v>70</v>
      </c>
      <c r="C417" s="3" t="str">
        <f t="shared" si="152"/>
        <v>裕南街街道</v>
      </c>
      <c r="D417" s="3" t="str">
        <f>"南站社区"</f>
        <v>南站社区</v>
      </c>
      <c r="E417" s="3" t="str">
        <f t="shared" si="144"/>
        <v>140</v>
      </c>
      <c r="F417" s="3" t="str">
        <f t="shared" si="142"/>
        <v>100</v>
      </c>
      <c r="G417" s="3" t="str">
        <f t="shared" ref="G417:G422" si="154">"二级"</f>
        <v>二级</v>
      </c>
    </row>
    <row r="418" customHeight="1" spans="1:7">
      <c r="A418" s="3" t="str">
        <f>"1617"</f>
        <v>1617</v>
      </c>
      <c r="B418" s="3" t="s">
        <v>267</v>
      </c>
      <c r="C418" s="3" t="str">
        <f>"坡子街街道"</f>
        <v>坡子街街道</v>
      </c>
      <c r="D418" s="3" t="str">
        <f>"坡子街社区"</f>
        <v>坡子街社区</v>
      </c>
      <c r="E418" s="3" t="str">
        <f t="shared" si="144"/>
        <v>140</v>
      </c>
      <c r="F418" s="3" t="str">
        <f t="shared" si="142"/>
        <v>100</v>
      </c>
      <c r="G418" s="3" t="str">
        <f t="shared" si="154"/>
        <v>二级</v>
      </c>
    </row>
    <row r="419" customHeight="1" spans="1:7">
      <c r="A419" s="3" t="str">
        <f>"1618"</f>
        <v>1618</v>
      </c>
      <c r="B419" s="3" t="s">
        <v>1194</v>
      </c>
      <c r="C419" s="3" t="str">
        <f>"桂花坪街道"</f>
        <v>桂花坪街道</v>
      </c>
      <c r="D419" s="3" t="str">
        <f>"金桂社区"</f>
        <v>金桂社区</v>
      </c>
      <c r="E419" s="3" t="str">
        <f t="shared" si="144"/>
        <v>140</v>
      </c>
      <c r="F419" s="3" t="str">
        <f t="shared" si="142"/>
        <v>100</v>
      </c>
      <c r="G419" s="3" t="str">
        <f t="shared" ref="G419:G424" si="155">"一级"</f>
        <v>一级</v>
      </c>
    </row>
    <row r="420" customHeight="1" spans="1:7">
      <c r="A420" s="3" t="str">
        <f>"1619"</f>
        <v>1619</v>
      </c>
      <c r="B420" s="3" t="s">
        <v>462</v>
      </c>
      <c r="C420" s="3" t="str">
        <f>"城南路街道"</f>
        <v>城南路街道</v>
      </c>
      <c r="D420" s="3" t="str">
        <f>"古道巷社区"</f>
        <v>古道巷社区</v>
      </c>
      <c r="E420" s="3" t="str">
        <f t="shared" si="144"/>
        <v>140</v>
      </c>
      <c r="F420" s="3" t="str">
        <f t="shared" si="142"/>
        <v>100</v>
      </c>
      <c r="G420" s="3" t="str">
        <f t="shared" si="154"/>
        <v>二级</v>
      </c>
    </row>
    <row r="421" customHeight="1" spans="1:7">
      <c r="A421" s="3" t="str">
        <f>"1620"</f>
        <v>1620</v>
      </c>
      <c r="B421" s="3" t="s">
        <v>428</v>
      </c>
      <c r="C421" s="3" t="str">
        <f>"金盆岭街道"</f>
        <v>金盆岭街道</v>
      </c>
      <c r="D421" s="3" t="str">
        <f>"赤岭路社区"</f>
        <v>赤岭路社区</v>
      </c>
      <c r="E421" s="3" t="str">
        <f t="shared" si="144"/>
        <v>140</v>
      </c>
      <c r="F421" s="3" t="str">
        <f t="shared" si="142"/>
        <v>100</v>
      </c>
      <c r="G421" s="3" t="str">
        <f t="shared" si="154"/>
        <v>二级</v>
      </c>
    </row>
    <row r="422" customHeight="1" spans="1:7">
      <c r="A422" s="3" t="str">
        <f>"1621"</f>
        <v>1621</v>
      </c>
      <c r="B422" s="3" t="s">
        <v>267</v>
      </c>
      <c r="C422" s="3" t="str">
        <f>"城南路街道"</f>
        <v>城南路街道</v>
      </c>
      <c r="D422" s="3" t="str">
        <f>"吴家坪社区"</f>
        <v>吴家坪社区</v>
      </c>
      <c r="E422" s="3" t="str">
        <f t="shared" si="144"/>
        <v>140</v>
      </c>
      <c r="F422" s="3" t="str">
        <f t="shared" si="142"/>
        <v>100</v>
      </c>
      <c r="G422" s="3" t="str">
        <f t="shared" si="154"/>
        <v>二级</v>
      </c>
    </row>
    <row r="423" customHeight="1" spans="1:7">
      <c r="A423" s="3" t="str">
        <f>"1622"</f>
        <v>1622</v>
      </c>
      <c r="B423" s="3" t="s">
        <v>140</v>
      </c>
      <c r="C423" s="3" t="str">
        <f t="shared" ref="C423:C427" si="156">"裕南街街道"</f>
        <v>裕南街街道</v>
      </c>
      <c r="D423" s="3" t="str">
        <f>"宝塔山社区"</f>
        <v>宝塔山社区</v>
      </c>
      <c r="E423" s="3" t="str">
        <f t="shared" si="144"/>
        <v>140</v>
      </c>
      <c r="F423" s="3" t="str">
        <f t="shared" si="142"/>
        <v>100</v>
      </c>
      <c r="G423" s="3" t="str">
        <f t="shared" si="155"/>
        <v>一级</v>
      </c>
    </row>
    <row r="424" customHeight="1" spans="1:7">
      <c r="A424" s="3" t="str">
        <f>"1623"</f>
        <v>1623</v>
      </c>
      <c r="B424" s="3" t="s">
        <v>1195</v>
      </c>
      <c r="C424" s="3" t="str">
        <f>"赤岭路街道"</f>
        <v>赤岭路街道</v>
      </c>
      <c r="D424" s="3" t="str">
        <f>"广厦新村社区"</f>
        <v>广厦新村社区</v>
      </c>
      <c r="E424" s="3" t="str">
        <f t="shared" si="144"/>
        <v>140</v>
      </c>
      <c r="F424" s="3" t="str">
        <f t="shared" si="142"/>
        <v>100</v>
      </c>
      <c r="G424" s="3" t="str">
        <f t="shared" si="155"/>
        <v>一级</v>
      </c>
    </row>
    <row r="425" customHeight="1" spans="1:7">
      <c r="A425" s="3" t="str">
        <f>"1624"</f>
        <v>1624</v>
      </c>
      <c r="B425" s="3" t="s">
        <v>126</v>
      </c>
      <c r="C425" s="3" t="str">
        <f>"金盆岭街道"</f>
        <v>金盆岭街道</v>
      </c>
      <c r="D425" s="3" t="str">
        <f>"黄土岭社区"</f>
        <v>黄土岭社区</v>
      </c>
      <c r="E425" s="3" t="str">
        <f t="shared" si="144"/>
        <v>140</v>
      </c>
      <c r="F425" s="3" t="str">
        <f t="shared" si="142"/>
        <v>100</v>
      </c>
      <c r="G425" s="3" t="str">
        <f t="shared" ref="G425:G428" si="157">"二级"</f>
        <v>二级</v>
      </c>
    </row>
    <row r="426" customHeight="1" spans="1:7">
      <c r="A426" s="3" t="str">
        <f>"1625"</f>
        <v>1625</v>
      </c>
      <c r="B426" s="3" t="s">
        <v>1196</v>
      </c>
      <c r="C426" s="3" t="str">
        <f t="shared" si="156"/>
        <v>裕南街街道</v>
      </c>
      <c r="D426" s="3" t="str">
        <f>"东瓜山社区"</f>
        <v>东瓜山社区</v>
      </c>
      <c r="E426" s="3" t="str">
        <f t="shared" si="144"/>
        <v>140</v>
      </c>
      <c r="F426" s="3" t="str">
        <f t="shared" si="142"/>
        <v>100</v>
      </c>
      <c r="G426" s="3" t="str">
        <f t="shared" si="157"/>
        <v>二级</v>
      </c>
    </row>
    <row r="427" customHeight="1" spans="1:7">
      <c r="A427" s="3" t="str">
        <f>"1626"</f>
        <v>1626</v>
      </c>
      <c r="B427" s="3" t="s">
        <v>68</v>
      </c>
      <c r="C427" s="3" t="str">
        <f t="shared" si="156"/>
        <v>裕南街街道</v>
      </c>
      <c r="D427" s="3" t="str">
        <f>"长坡社区"</f>
        <v>长坡社区</v>
      </c>
      <c r="E427" s="3" t="str">
        <f t="shared" si="144"/>
        <v>140</v>
      </c>
      <c r="F427" s="3" t="str">
        <f t="shared" si="142"/>
        <v>100</v>
      </c>
      <c r="G427" s="3" t="str">
        <f t="shared" si="157"/>
        <v>二级</v>
      </c>
    </row>
    <row r="428" customHeight="1" spans="1:7">
      <c r="A428" s="3" t="str">
        <f>"1627"</f>
        <v>1627</v>
      </c>
      <c r="B428" s="3" t="s">
        <v>139</v>
      </c>
      <c r="C428" s="3" t="str">
        <f>"金盆岭街道"</f>
        <v>金盆岭街道</v>
      </c>
      <c r="D428" s="3" t="str">
        <f>"夏家冲社区"</f>
        <v>夏家冲社区</v>
      </c>
      <c r="E428" s="3" t="str">
        <f t="shared" si="144"/>
        <v>140</v>
      </c>
      <c r="F428" s="3" t="str">
        <f t="shared" si="142"/>
        <v>100</v>
      </c>
      <c r="G428" s="3" t="str">
        <f t="shared" si="157"/>
        <v>二级</v>
      </c>
    </row>
    <row r="429" customHeight="1" spans="1:7">
      <c r="A429" s="3" t="str">
        <f>"1628"</f>
        <v>1628</v>
      </c>
      <c r="B429" s="3" t="s">
        <v>500</v>
      </c>
      <c r="C429" s="3" t="str">
        <f>"桂花坪街道"</f>
        <v>桂花坪街道</v>
      </c>
      <c r="D429" s="3" t="str">
        <f>"丹桂社区"</f>
        <v>丹桂社区</v>
      </c>
      <c r="E429" s="3" t="str">
        <f t="shared" si="144"/>
        <v>140</v>
      </c>
      <c r="F429" s="3" t="str">
        <f t="shared" si="142"/>
        <v>100</v>
      </c>
      <c r="G429" s="3" t="str">
        <f>"一级"</f>
        <v>一级</v>
      </c>
    </row>
    <row r="430" customHeight="1" spans="1:7">
      <c r="A430" s="3" t="str">
        <f>"1629"</f>
        <v>1629</v>
      </c>
      <c r="B430" s="3" t="s">
        <v>32</v>
      </c>
      <c r="C430" s="3" t="str">
        <f t="shared" ref="C430:C436" si="158">"裕南街街道"</f>
        <v>裕南街街道</v>
      </c>
      <c r="D430" s="3" t="str">
        <f>"东瓜山社区"</f>
        <v>东瓜山社区</v>
      </c>
      <c r="E430" s="3" t="str">
        <f t="shared" si="144"/>
        <v>140</v>
      </c>
      <c r="F430" s="3" t="str">
        <f t="shared" si="142"/>
        <v>100</v>
      </c>
      <c r="G430" s="3" t="str">
        <f t="shared" ref="G430:G441" si="159">"二级"</f>
        <v>二级</v>
      </c>
    </row>
    <row r="431" customHeight="1" spans="1:7">
      <c r="A431" s="3" t="str">
        <f>"1630"</f>
        <v>1630</v>
      </c>
      <c r="B431" s="3" t="s">
        <v>1197</v>
      </c>
      <c r="C431" s="3" t="str">
        <f>"坡子街街道"</f>
        <v>坡子街街道</v>
      </c>
      <c r="D431" s="3" t="str">
        <f>"坡子街社区"</f>
        <v>坡子街社区</v>
      </c>
      <c r="E431" s="3" t="str">
        <f t="shared" si="144"/>
        <v>140</v>
      </c>
      <c r="F431" s="3" t="str">
        <f t="shared" si="142"/>
        <v>100</v>
      </c>
      <c r="G431" s="3" t="str">
        <f t="shared" si="159"/>
        <v>二级</v>
      </c>
    </row>
    <row r="432" customHeight="1" spans="1:7">
      <c r="A432" s="3" t="str">
        <f>"1631"</f>
        <v>1631</v>
      </c>
      <c r="B432" s="3" t="s">
        <v>139</v>
      </c>
      <c r="C432" s="3" t="str">
        <f t="shared" si="158"/>
        <v>裕南街街道</v>
      </c>
      <c r="D432" s="3" t="str">
        <f>"东瓜山社区"</f>
        <v>东瓜山社区</v>
      </c>
      <c r="E432" s="3" t="str">
        <f t="shared" si="144"/>
        <v>140</v>
      </c>
      <c r="F432" s="3" t="str">
        <f t="shared" si="142"/>
        <v>100</v>
      </c>
      <c r="G432" s="3" t="str">
        <f t="shared" si="159"/>
        <v>二级</v>
      </c>
    </row>
    <row r="433" customHeight="1" spans="1:7">
      <c r="A433" s="3" t="str">
        <f>"1632"</f>
        <v>1632</v>
      </c>
      <c r="B433" s="3" t="s">
        <v>1198</v>
      </c>
      <c r="C433" s="3" t="str">
        <f>"文源街道"</f>
        <v>文源街道</v>
      </c>
      <c r="D433" s="3" t="str">
        <f>"状元坡社区"</f>
        <v>状元坡社区</v>
      </c>
      <c r="E433" s="3" t="str">
        <f t="shared" si="144"/>
        <v>140</v>
      </c>
      <c r="F433" s="3" t="str">
        <f t="shared" si="142"/>
        <v>100</v>
      </c>
      <c r="G433" s="3" t="str">
        <f t="shared" si="159"/>
        <v>二级</v>
      </c>
    </row>
    <row r="434" customHeight="1" spans="1:7">
      <c r="A434" s="3" t="str">
        <f>"1633"</f>
        <v>1633</v>
      </c>
      <c r="B434" s="3" t="s">
        <v>80</v>
      </c>
      <c r="C434" s="3" t="str">
        <f>"坡子街街道"</f>
        <v>坡子街街道</v>
      </c>
      <c r="D434" s="3" t="str">
        <f>"碧湘社区"</f>
        <v>碧湘社区</v>
      </c>
      <c r="E434" s="3" t="str">
        <f t="shared" si="144"/>
        <v>140</v>
      </c>
      <c r="F434" s="3" t="str">
        <f t="shared" si="142"/>
        <v>100</v>
      </c>
      <c r="G434" s="3" t="str">
        <f t="shared" si="159"/>
        <v>二级</v>
      </c>
    </row>
    <row r="435" customHeight="1" spans="1:7">
      <c r="A435" s="3" t="str">
        <f>"1634"</f>
        <v>1634</v>
      </c>
      <c r="B435" s="3" t="s">
        <v>27</v>
      </c>
      <c r="C435" s="3" t="str">
        <f t="shared" si="158"/>
        <v>裕南街街道</v>
      </c>
      <c r="D435" s="3" t="str">
        <f>"石子冲社区"</f>
        <v>石子冲社区</v>
      </c>
      <c r="E435" s="3" t="str">
        <f t="shared" si="144"/>
        <v>140</v>
      </c>
      <c r="F435" s="3" t="str">
        <f t="shared" si="142"/>
        <v>100</v>
      </c>
      <c r="G435" s="3" t="str">
        <f t="shared" si="159"/>
        <v>二级</v>
      </c>
    </row>
    <row r="436" customHeight="1" spans="1:7">
      <c r="A436" s="3" t="str">
        <f>"1635"</f>
        <v>1635</v>
      </c>
      <c r="B436" s="3" t="s">
        <v>1199</v>
      </c>
      <c r="C436" s="3" t="str">
        <f t="shared" si="158"/>
        <v>裕南街街道</v>
      </c>
      <c r="D436" s="3" t="str">
        <f>"裕南街社区"</f>
        <v>裕南街社区</v>
      </c>
      <c r="E436" s="3" t="str">
        <f t="shared" si="144"/>
        <v>140</v>
      </c>
      <c r="F436" s="3" t="str">
        <f t="shared" si="142"/>
        <v>100</v>
      </c>
      <c r="G436" s="3" t="str">
        <f t="shared" si="159"/>
        <v>二级</v>
      </c>
    </row>
    <row r="437" customHeight="1" spans="1:7">
      <c r="A437" s="3" t="str">
        <f>"1636"</f>
        <v>1636</v>
      </c>
      <c r="B437" s="3" t="s">
        <v>1200</v>
      </c>
      <c r="C437" s="3" t="str">
        <f>"金盆岭街道"</f>
        <v>金盆岭街道</v>
      </c>
      <c r="D437" s="3" t="str">
        <f>"黄土岭社区"</f>
        <v>黄土岭社区</v>
      </c>
      <c r="E437" s="3" t="str">
        <f t="shared" si="144"/>
        <v>140</v>
      </c>
      <c r="F437" s="3" t="str">
        <f t="shared" si="142"/>
        <v>100</v>
      </c>
      <c r="G437" s="3" t="str">
        <f t="shared" si="159"/>
        <v>二级</v>
      </c>
    </row>
    <row r="438" customHeight="1" spans="1:7">
      <c r="A438" s="3" t="str">
        <f>"1637"</f>
        <v>1637</v>
      </c>
      <c r="B438" s="3" t="s">
        <v>1201</v>
      </c>
      <c r="C438" s="3" t="str">
        <f>"坡子街街道"</f>
        <v>坡子街街道</v>
      </c>
      <c r="D438" s="3" t="str">
        <f>"楚湘社区"</f>
        <v>楚湘社区</v>
      </c>
      <c r="E438" s="3" t="str">
        <f t="shared" si="144"/>
        <v>140</v>
      </c>
      <c r="F438" s="3" t="str">
        <f t="shared" si="142"/>
        <v>100</v>
      </c>
      <c r="G438" s="3" t="str">
        <f t="shared" si="159"/>
        <v>二级</v>
      </c>
    </row>
    <row r="439" customHeight="1" spans="1:7">
      <c r="A439" s="3" t="str">
        <f>"1638"</f>
        <v>1638</v>
      </c>
      <c r="B439" s="3" t="s">
        <v>258</v>
      </c>
      <c r="C439" s="3" t="str">
        <f>"新开铺街道"</f>
        <v>新开铺街道</v>
      </c>
      <c r="D439" s="3" t="str">
        <f>"豹子岭社区"</f>
        <v>豹子岭社区</v>
      </c>
      <c r="E439" s="3" t="str">
        <f t="shared" si="144"/>
        <v>140</v>
      </c>
      <c r="F439" s="3" t="str">
        <f t="shared" si="142"/>
        <v>100</v>
      </c>
      <c r="G439" s="3" t="str">
        <f t="shared" si="159"/>
        <v>二级</v>
      </c>
    </row>
    <row r="440" customHeight="1" spans="1:7">
      <c r="A440" s="3" t="str">
        <f>"1639"</f>
        <v>1639</v>
      </c>
      <c r="B440" s="3" t="s">
        <v>1202</v>
      </c>
      <c r="C440" s="3" t="str">
        <f>"坡子街街道"</f>
        <v>坡子街街道</v>
      </c>
      <c r="D440" s="3" t="str">
        <f>"西湖社区"</f>
        <v>西湖社区</v>
      </c>
      <c r="E440" s="3" t="str">
        <f t="shared" si="144"/>
        <v>140</v>
      </c>
      <c r="F440" s="3" t="str">
        <f t="shared" si="142"/>
        <v>100</v>
      </c>
      <c r="G440" s="3" t="str">
        <f t="shared" si="159"/>
        <v>二级</v>
      </c>
    </row>
    <row r="441" customHeight="1" spans="1:7">
      <c r="A441" s="3" t="str">
        <f>"1640"</f>
        <v>1640</v>
      </c>
      <c r="B441" s="3" t="s">
        <v>1203</v>
      </c>
      <c r="C441" s="3" t="str">
        <f t="shared" ref="C441:C444" si="160">"裕南街街道"</f>
        <v>裕南街街道</v>
      </c>
      <c r="D441" s="3" t="str">
        <f>"火把山社区"</f>
        <v>火把山社区</v>
      </c>
      <c r="E441" s="3" t="str">
        <f t="shared" si="144"/>
        <v>140</v>
      </c>
      <c r="F441" s="3" t="str">
        <f t="shared" si="142"/>
        <v>100</v>
      </c>
      <c r="G441" s="3" t="str">
        <f t="shared" si="159"/>
        <v>二级</v>
      </c>
    </row>
    <row r="442" customHeight="1" spans="1:7">
      <c r="A442" s="3" t="str">
        <f>"1641"</f>
        <v>1641</v>
      </c>
      <c r="B442" s="3" t="s">
        <v>72</v>
      </c>
      <c r="C442" s="3" t="str">
        <f>"金盆岭街道"</f>
        <v>金盆岭街道</v>
      </c>
      <c r="D442" s="3" t="str">
        <f>"夏家冲社区"</f>
        <v>夏家冲社区</v>
      </c>
      <c r="E442" s="3" t="str">
        <f t="shared" si="144"/>
        <v>140</v>
      </c>
      <c r="F442" s="3" t="str">
        <f t="shared" si="142"/>
        <v>100</v>
      </c>
      <c r="G442" s="3" t="str">
        <f>"一级"</f>
        <v>一级</v>
      </c>
    </row>
    <row r="443" customHeight="1" spans="1:7">
      <c r="A443" s="3" t="str">
        <f>"1642"</f>
        <v>1642</v>
      </c>
      <c r="B443" s="3" t="s">
        <v>398</v>
      </c>
      <c r="C443" s="3" t="str">
        <f t="shared" si="160"/>
        <v>裕南街街道</v>
      </c>
      <c r="D443" s="3" t="str">
        <f>"南站社区"</f>
        <v>南站社区</v>
      </c>
      <c r="E443" s="3" t="str">
        <f t="shared" si="144"/>
        <v>140</v>
      </c>
      <c r="F443" s="3" t="str">
        <f t="shared" si="142"/>
        <v>100</v>
      </c>
      <c r="G443" s="3" t="str">
        <f t="shared" ref="G443:G445" si="161">"二级"</f>
        <v>二级</v>
      </c>
    </row>
    <row r="444" customHeight="1" spans="1:7">
      <c r="A444" s="3" t="str">
        <f>"1643"</f>
        <v>1643</v>
      </c>
      <c r="B444" s="3" t="s">
        <v>1204</v>
      </c>
      <c r="C444" s="3" t="str">
        <f t="shared" si="160"/>
        <v>裕南街街道</v>
      </c>
      <c r="D444" s="3" t="str">
        <f>"火把山社区"</f>
        <v>火把山社区</v>
      </c>
      <c r="E444" s="3" t="str">
        <f t="shared" si="144"/>
        <v>140</v>
      </c>
      <c r="F444" s="3" t="str">
        <f t="shared" si="142"/>
        <v>100</v>
      </c>
      <c r="G444" s="3" t="str">
        <f t="shared" si="161"/>
        <v>二级</v>
      </c>
    </row>
    <row r="445" customHeight="1" spans="1:7">
      <c r="A445" s="3" t="str">
        <f>"1644"</f>
        <v>1644</v>
      </c>
      <c r="B445" s="3" t="s">
        <v>1205</v>
      </c>
      <c r="C445" s="3" t="str">
        <f>"赤岭路街道"</f>
        <v>赤岭路街道</v>
      </c>
      <c r="D445" s="3" t="str">
        <f>"芙蓉南路社区"</f>
        <v>芙蓉南路社区</v>
      </c>
      <c r="E445" s="3" t="str">
        <f t="shared" si="144"/>
        <v>140</v>
      </c>
      <c r="F445" s="3" t="str">
        <f t="shared" si="142"/>
        <v>100</v>
      </c>
      <c r="G445" s="3" t="str">
        <f t="shared" si="161"/>
        <v>二级</v>
      </c>
    </row>
    <row r="446" customHeight="1" spans="1:7">
      <c r="A446" s="3" t="str">
        <f>"1645"</f>
        <v>1645</v>
      </c>
      <c r="B446" s="3" t="s">
        <v>1206</v>
      </c>
      <c r="C446" s="3" t="str">
        <f>"裕南街街道"</f>
        <v>裕南街街道</v>
      </c>
      <c r="D446" s="3" t="str">
        <f>"石子冲社区"</f>
        <v>石子冲社区</v>
      </c>
      <c r="E446" s="3" t="str">
        <f t="shared" si="144"/>
        <v>140</v>
      </c>
      <c r="F446" s="3" t="str">
        <f t="shared" si="142"/>
        <v>100</v>
      </c>
      <c r="G446" s="3" t="str">
        <f>"一级"</f>
        <v>一级</v>
      </c>
    </row>
    <row r="447" customHeight="1" spans="1:7">
      <c r="A447" s="3" t="str">
        <f>"1646"</f>
        <v>1646</v>
      </c>
      <c r="B447" s="3" t="s">
        <v>35</v>
      </c>
      <c r="C447" s="3" t="str">
        <f>"新开铺街道"</f>
        <v>新开铺街道</v>
      </c>
      <c r="D447" s="3" t="str">
        <f>"新开铺社区"</f>
        <v>新开铺社区</v>
      </c>
      <c r="E447" s="3" t="str">
        <f t="shared" si="144"/>
        <v>140</v>
      </c>
      <c r="F447" s="3" t="str">
        <f t="shared" ref="F447:F510" si="162">"100"</f>
        <v>100</v>
      </c>
      <c r="G447" s="3" t="str">
        <f t="shared" ref="G447:G452" si="163">"二级"</f>
        <v>二级</v>
      </c>
    </row>
    <row r="448" customHeight="1" spans="1:7">
      <c r="A448" s="3" t="str">
        <f>"1647"</f>
        <v>1647</v>
      </c>
      <c r="B448" s="3" t="s">
        <v>608</v>
      </c>
      <c r="C448" s="3" t="str">
        <f>"城南路街道"</f>
        <v>城南路街道</v>
      </c>
      <c r="D448" s="3" t="str">
        <f>"吴家坪社区"</f>
        <v>吴家坪社区</v>
      </c>
      <c r="E448" s="3" t="str">
        <f t="shared" si="144"/>
        <v>140</v>
      </c>
      <c r="F448" s="3" t="str">
        <f t="shared" si="162"/>
        <v>100</v>
      </c>
      <c r="G448" s="3" t="str">
        <f t="shared" si="163"/>
        <v>二级</v>
      </c>
    </row>
    <row r="449" customHeight="1" spans="1:7">
      <c r="A449" s="3" t="str">
        <f>"1648"</f>
        <v>1648</v>
      </c>
      <c r="B449" s="3" t="s">
        <v>1207</v>
      </c>
      <c r="C449" s="3" t="str">
        <f>"金盆岭街道"</f>
        <v>金盆岭街道</v>
      </c>
      <c r="D449" s="3" t="str">
        <f>"赤岭路社区"</f>
        <v>赤岭路社区</v>
      </c>
      <c r="E449" s="3" t="str">
        <f t="shared" si="144"/>
        <v>140</v>
      </c>
      <c r="F449" s="3" t="str">
        <f t="shared" si="162"/>
        <v>100</v>
      </c>
      <c r="G449" s="3" t="str">
        <f t="shared" si="163"/>
        <v>二级</v>
      </c>
    </row>
    <row r="450" customHeight="1" spans="1:7">
      <c r="A450" s="3" t="str">
        <f>"1649"</f>
        <v>1649</v>
      </c>
      <c r="B450" s="3" t="s">
        <v>267</v>
      </c>
      <c r="C450" s="3" t="str">
        <f>"城南路街道"</f>
        <v>城南路街道</v>
      </c>
      <c r="D450" s="3" t="str">
        <f>"天心阁社区"</f>
        <v>天心阁社区</v>
      </c>
      <c r="E450" s="3" t="str">
        <f t="shared" ref="E450:E513" si="164">"140"</f>
        <v>140</v>
      </c>
      <c r="F450" s="3" t="str">
        <f t="shared" si="162"/>
        <v>100</v>
      </c>
      <c r="G450" s="3" t="str">
        <f t="shared" si="163"/>
        <v>二级</v>
      </c>
    </row>
    <row r="451" customHeight="1" spans="1:7">
      <c r="A451" s="3" t="str">
        <f>"1650"</f>
        <v>1650</v>
      </c>
      <c r="B451" s="3" t="s">
        <v>141</v>
      </c>
      <c r="C451" s="3" t="str">
        <f t="shared" ref="C451:C455" si="165">"裕南街街道"</f>
        <v>裕南街街道</v>
      </c>
      <c r="D451" s="3" t="str">
        <f>"仰天湖社区"</f>
        <v>仰天湖社区</v>
      </c>
      <c r="E451" s="3" t="str">
        <f t="shared" si="164"/>
        <v>140</v>
      </c>
      <c r="F451" s="3" t="str">
        <f t="shared" si="162"/>
        <v>100</v>
      </c>
      <c r="G451" s="3" t="str">
        <f t="shared" si="163"/>
        <v>二级</v>
      </c>
    </row>
    <row r="452" customHeight="1" spans="1:7">
      <c r="A452" s="3" t="str">
        <f>"1651"</f>
        <v>1651</v>
      </c>
      <c r="B452" s="3" t="s">
        <v>1208</v>
      </c>
      <c r="C452" s="3" t="str">
        <f>"金盆岭街道"</f>
        <v>金盆岭街道</v>
      </c>
      <c r="D452" s="3" t="str">
        <f>"赤岭路社区"</f>
        <v>赤岭路社区</v>
      </c>
      <c r="E452" s="3" t="str">
        <f t="shared" si="164"/>
        <v>140</v>
      </c>
      <c r="F452" s="3" t="str">
        <f t="shared" si="162"/>
        <v>100</v>
      </c>
      <c r="G452" s="3" t="str">
        <f t="shared" si="163"/>
        <v>二级</v>
      </c>
    </row>
    <row r="453" customHeight="1" spans="1:7">
      <c r="A453" s="3" t="str">
        <f>"1652"</f>
        <v>1652</v>
      </c>
      <c r="B453" s="3" t="s">
        <v>125</v>
      </c>
      <c r="C453" s="3" t="str">
        <f t="shared" si="165"/>
        <v>裕南街街道</v>
      </c>
      <c r="D453" s="3" t="str">
        <f>"宝塔山社区"</f>
        <v>宝塔山社区</v>
      </c>
      <c r="E453" s="3" t="str">
        <f t="shared" si="164"/>
        <v>140</v>
      </c>
      <c r="F453" s="3" t="str">
        <f t="shared" si="162"/>
        <v>100</v>
      </c>
      <c r="G453" s="3" t="str">
        <f>"一级"</f>
        <v>一级</v>
      </c>
    </row>
    <row r="454" customHeight="1" spans="1:7">
      <c r="A454" s="3" t="str">
        <f>"1653"</f>
        <v>1653</v>
      </c>
      <c r="B454" s="3" t="s">
        <v>749</v>
      </c>
      <c r="C454" s="3" t="str">
        <f>"城南路街道"</f>
        <v>城南路街道</v>
      </c>
      <c r="D454" s="3" t="str">
        <f>"天心阁社区"</f>
        <v>天心阁社区</v>
      </c>
      <c r="E454" s="3" t="str">
        <f t="shared" si="164"/>
        <v>140</v>
      </c>
      <c r="F454" s="3" t="str">
        <f t="shared" si="162"/>
        <v>100</v>
      </c>
      <c r="G454" s="3" t="str">
        <f t="shared" ref="G454:G458" si="166">"二级"</f>
        <v>二级</v>
      </c>
    </row>
    <row r="455" customHeight="1" spans="1:7">
      <c r="A455" s="3" t="str">
        <f>"1654"</f>
        <v>1654</v>
      </c>
      <c r="B455" s="3" t="s">
        <v>1209</v>
      </c>
      <c r="C455" s="3" t="str">
        <f t="shared" si="165"/>
        <v>裕南街街道</v>
      </c>
      <c r="D455" s="3" t="str">
        <f>"向东南社区"</f>
        <v>向东南社区</v>
      </c>
      <c r="E455" s="3" t="str">
        <f t="shared" si="164"/>
        <v>140</v>
      </c>
      <c r="F455" s="3" t="str">
        <f t="shared" si="162"/>
        <v>100</v>
      </c>
      <c r="G455" s="3" t="str">
        <f t="shared" si="166"/>
        <v>二级</v>
      </c>
    </row>
    <row r="456" customHeight="1" spans="1:7">
      <c r="A456" s="3" t="str">
        <f>"1655"</f>
        <v>1655</v>
      </c>
      <c r="B456" s="3" t="s">
        <v>1210</v>
      </c>
      <c r="C456" s="3" t="str">
        <f>"新开铺街道"</f>
        <v>新开铺街道</v>
      </c>
      <c r="D456" s="3" t="str">
        <f>"新开铺社区"</f>
        <v>新开铺社区</v>
      </c>
      <c r="E456" s="3" t="str">
        <f t="shared" si="164"/>
        <v>140</v>
      </c>
      <c r="F456" s="3" t="str">
        <f t="shared" si="162"/>
        <v>100</v>
      </c>
      <c r="G456" s="3" t="str">
        <f t="shared" si="166"/>
        <v>二级</v>
      </c>
    </row>
    <row r="457" customHeight="1" spans="1:7">
      <c r="A457" s="3" t="str">
        <f>"1656"</f>
        <v>1656</v>
      </c>
      <c r="B457" s="3" t="s">
        <v>1211</v>
      </c>
      <c r="C457" s="3" t="str">
        <f>"青园街道"</f>
        <v>青园街道</v>
      </c>
      <c r="D457" s="3" t="str">
        <f>"青园社区"</f>
        <v>青园社区</v>
      </c>
      <c r="E457" s="3" t="str">
        <f t="shared" si="164"/>
        <v>140</v>
      </c>
      <c r="F457" s="3" t="str">
        <f t="shared" si="162"/>
        <v>100</v>
      </c>
      <c r="G457" s="3" t="str">
        <f t="shared" si="166"/>
        <v>二级</v>
      </c>
    </row>
    <row r="458" customHeight="1" spans="1:7">
      <c r="A458" s="3" t="str">
        <f>"1657"</f>
        <v>1657</v>
      </c>
      <c r="B458" s="3" t="s">
        <v>80</v>
      </c>
      <c r="C458" s="3" t="str">
        <f>"裕南街街道"</f>
        <v>裕南街街道</v>
      </c>
      <c r="D458" s="3" t="str">
        <f>"石子冲社区"</f>
        <v>石子冲社区</v>
      </c>
      <c r="E458" s="3" t="str">
        <f t="shared" si="164"/>
        <v>140</v>
      </c>
      <c r="F458" s="3" t="str">
        <f t="shared" si="162"/>
        <v>100</v>
      </c>
      <c r="G458" s="3" t="str">
        <f t="shared" si="166"/>
        <v>二级</v>
      </c>
    </row>
    <row r="459" customHeight="1" spans="1:7">
      <c r="A459" s="3" t="str">
        <f>"1658"</f>
        <v>1658</v>
      </c>
      <c r="B459" s="3" t="s">
        <v>1212</v>
      </c>
      <c r="C459" s="3" t="str">
        <f t="shared" ref="C459:C464" si="167">"南托街道"</f>
        <v>南托街道</v>
      </c>
      <c r="D459" s="3" t="str">
        <f>"北塘社区"</f>
        <v>北塘社区</v>
      </c>
      <c r="E459" s="3" t="str">
        <f t="shared" si="164"/>
        <v>140</v>
      </c>
      <c r="F459" s="3" t="str">
        <f t="shared" si="162"/>
        <v>100</v>
      </c>
      <c r="G459" s="3" t="str">
        <f t="shared" ref="G459:G462" si="168">"一级"</f>
        <v>一级</v>
      </c>
    </row>
    <row r="460" customHeight="1" spans="1:7">
      <c r="A460" s="3" t="str">
        <f>"1659"</f>
        <v>1659</v>
      </c>
      <c r="B460" s="3" t="s">
        <v>1148</v>
      </c>
      <c r="C460" s="3" t="str">
        <f>"暮云街道"</f>
        <v>暮云街道</v>
      </c>
      <c r="D460" s="3" t="str">
        <f>"暮云新村"</f>
        <v>暮云新村</v>
      </c>
      <c r="E460" s="3" t="str">
        <f t="shared" si="164"/>
        <v>140</v>
      </c>
      <c r="F460" s="3" t="str">
        <f t="shared" si="162"/>
        <v>100</v>
      </c>
      <c r="G460" s="3" t="str">
        <f t="shared" si="168"/>
        <v>一级</v>
      </c>
    </row>
    <row r="461" customHeight="1" spans="1:7">
      <c r="A461" s="3" t="str">
        <f>"1660"</f>
        <v>1660</v>
      </c>
      <c r="B461" s="3" t="s">
        <v>1213</v>
      </c>
      <c r="C461" s="3" t="str">
        <f t="shared" si="167"/>
        <v>南托街道</v>
      </c>
      <c r="D461" s="3" t="str">
        <f>"滨洲新村"</f>
        <v>滨洲新村</v>
      </c>
      <c r="E461" s="3" t="str">
        <f t="shared" si="164"/>
        <v>140</v>
      </c>
      <c r="F461" s="3" t="str">
        <f t="shared" si="162"/>
        <v>100</v>
      </c>
      <c r="G461" s="3" t="str">
        <f t="shared" ref="G461:G472" si="169">"二级"</f>
        <v>二级</v>
      </c>
    </row>
    <row r="462" customHeight="1" spans="1:7">
      <c r="A462" s="3" t="str">
        <f>"1661"</f>
        <v>1661</v>
      </c>
      <c r="B462" s="3" t="s">
        <v>1214</v>
      </c>
      <c r="C462" s="3" t="str">
        <f t="shared" si="167"/>
        <v>南托街道</v>
      </c>
      <c r="D462" s="3" t="str">
        <f t="shared" ref="D462:D464" si="170">"牛角塘村"</f>
        <v>牛角塘村</v>
      </c>
      <c r="E462" s="3" t="str">
        <f t="shared" si="164"/>
        <v>140</v>
      </c>
      <c r="F462" s="3" t="str">
        <f t="shared" si="162"/>
        <v>100</v>
      </c>
      <c r="G462" s="3" t="str">
        <f t="shared" si="168"/>
        <v>一级</v>
      </c>
    </row>
    <row r="463" customHeight="1" spans="1:7">
      <c r="A463" s="3" t="str">
        <f>"1662"</f>
        <v>1662</v>
      </c>
      <c r="B463" s="3" t="s">
        <v>1215</v>
      </c>
      <c r="C463" s="3" t="str">
        <f t="shared" si="167"/>
        <v>南托街道</v>
      </c>
      <c r="D463" s="3" t="str">
        <f t="shared" si="170"/>
        <v>牛角塘村</v>
      </c>
      <c r="E463" s="3" t="str">
        <f t="shared" si="164"/>
        <v>140</v>
      </c>
      <c r="F463" s="3" t="str">
        <f t="shared" si="162"/>
        <v>100</v>
      </c>
      <c r="G463" s="3" t="str">
        <f t="shared" si="169"/>
        <v>二级</v>
      </c>
    </row>
    <row r="464" customHeight="1" spans="1:7">
      <c r="A464" s="3" t="str">
        <f>"1663"</f>
        <v>1663</v>
      </c>
      <c r="B464" s="3" t="s">
        <v>603</v>
      </c>
      <c r="C464" s="3" t="str">
        <f t="shared" si="167"/>
        <v>南托街道</v>
      </c>
      <c r="D464" s="3" t="str">
        <f t="shared" si="170"/>
        <v>牛角塘村</v>
      </c>
      <c r="E464" s="3" t="str">
        <f t="shared" si="164"/>
        <v>140</v>
      </c>
      <c r="F464" s="3" t="str">
        <f t="shared" si="162"/>
        <v>100</v>
      </c>
      <c r="G464" s="3" t="str">
        <f t="shared" si="169"/>
        <v>二级</v>
      </c>
    </row>
    <row r="465" customHeight="1" spans="1:7">
      <c r="A465" s="3" t="str">
        <f>"1664"</f>
        <v>1664</v>
      </c>
      <c r="B465" s="3" t="s">
        <v>32</v>
      </c>
      <c r="C465" s="3" t="str">
        <f>"暮云街道"</f>
        <v>暮云街道</v>
      </c>
      <c r="D465" s="3" t="str">
        <f>"暮云社区"</f>
        <v>暮云社区</v>
      </c>
      <c r="E465" s="3" t="str">
        <f t="shared" si="164"/>
        <v>140</v>
      </c>
      <c r="F465" s="3" t="str">
        <f t="shared" si="162"/>
        <v>100</v>
      </c>
      <c r="G465" s="3" t="str">
        <f t="shared" si="169"/>
        <v>二级</v>
      </c>
    </row>
    <row r="466" customHeight="1" spans="1:7">
      <c r="A466" s="3" t="str">
        <f>"1665"</f>
        <v>1665</v>
      </c>
      <c r="B466" s="3" t="s">
        <v>76</v>
      </c>
      <c r="C466" s="3" t="str">
        <f>"南托街道"</f>
        <v>南托街道</v>
      </c>
      <c r="D466" s="3" t="str">
        <f>"融城社区"</f>
        <v>融城社区</v>
      </c>
      <c r="E466" s="3" t="str">
        <f t="shared" si="164"/>
        <v>140</v>
      </c>
      <c r="F466" s="3" t="str">
        <f t="shared" si="162"/>
        <v>100</v>
      </c>
      <c r="G466" s="3" t="str">
        <f t="shared" si="169"/>
        <v>二级</v>
      </c>
    </row>
    <row r="467" customHeight="1" spans="1:7">
      <c r="A467" s="3" t="str">
        <f>"1666"</f>
        <v>1666</v>
      </c>
      <c r="B467" s="3" t="s">
        <v>485</v>
      </c>
      <c r="C467" s="3" t="str">
        <f>"南托街道"</f>
        <v>南托街道</v>
      </c>
      <c r="D467" s="3" t="str">
        <f>"北塘社区"</f>
        <v>北塘社区</v>
      </c>
      <c r="E467" s="3" t="str">
        <f t="shared" si="164"/>
        <v>140</v>
      </c>
      <c r="F467" s="3" t="str">
        <f t="shared" si="162"/>
        <v>100</v>
      </c>
      <c r="G467" s="3" t="str">
        <f t="shared" si="169"/>
        <v>二级</v>
      </c>
    </row>
    <row r="468" customHeight="1" spans="1:7">
      <c r="A468" s="3" t="str">
        <f>"1667"</f>
        <v>1667</v>
      </c>
      <c r="B468" s="3" t="s">
        <v>1216</v>
      </c>
      <c r="C468" s="3" t="str">
        <f t="shared" ref="C468:C470" si="171">"坡子街街道"</f>
        <v>坡子街街道</v>
      </c>
      <c r="D468" s="3" t="str">
        <f>"西湖社区"</f>
        <v>西湖社区</v>
      </c>
      <c r="E468" s="3" t="str">
        <f t="shared" si="164"/>
        <v>140</v>
      </c>
      <c r="F468" s="3" t="str">
        <f t="shared" si="162"/>
        <v>100</v>
      </c>
      <c r="G468" s="3" t="str">
        <f t="shared" si="169"/>
        <v>二级</v>
      </c>
    </row>
    <row r="469" customHeight="1" spans="1:7">
      <c r="A469" s="3" t="str">
        <f>"1668"</f>
        <v>1668</v>
      </c>
      <c r="B469" s="3" t="s">
        <v>20</v>
      </c>
      <c r="C469" s="3" t="str">
        <f t="shared" si="171"/>
        <v>坡子街街道</v>
      </c>
      <c r="D469" s="3" t="str">
        <f>"楚湘社区"</f>
        <v>楚湘社区</v>
      </c>
      <c r="E469" s="3" t="str">
        <f t="shared" si="164"/>
        <v>140</v>
      </c>
      <c r="F469" s="3" t="str">
        <f t="shared" si="162"/>
        <v>100</v>
      </c>
      <c r="G469" s="3" t="str">
        <f t="shared" si="169"/>
        <v>二级</v>
      </c>
    </row>
    <row r="470" customHeight="1" spans="1:7">
      <c r="A470" s="3" t="str">
        <f>"1669"</f>
        <v>1669</v>
      </c>
      <c r="B470" s="3" t="s">
        <v>18</v>
      </c>
      <c r="C470" s="3" t="str">
        <f t="shared" si="171"/>
        <v>坡子街街道</v>
      </c>
      <c r="D470" s="3" t="str">
        <f>"西牌楼社区"</f>
        <v>西牌楼社区</v>
      </c>
      <c r="E470" s="3" t="str">
        <f t="shared" si="164"/>
        <v>140</v>
      </c>
      <c r="F470" s="3" t="str">
        <f t="shared" si="162"/>
        <v>100</v>
      </c>
      <c r="G470" s="3" t="str">
        <f t="shared" si="169"/>
        <v>二级</v>
      </c>
    </row>
    <row r="471" customHeight="1" spans="1:7">
      <c r="A471" s="3" t="str">
        <f>"1670"</f>
        <v>1670</v>
      </c>
      <c r="B471" s="3" t="s">
        <v>1217</v>
      </c>
      <c r="C471" s="3" t="str">
        <f>"新开铺街道"</f>
        <v>新开铺街道</v>
      </c>
      <c r="D471" s="3" t="str">
        <f>"新开铺社区"</f>
        <v>新开铺社区</v>
      </c>
      <c r="E471" s="3" t="str">
        <f t="shared" si="164"/>
        <v>140</v>
      </c>
      <c r="F471" s="3" t="str">
        <f t="shared" si="162"/>
        <v>100</v>
      </c>
      <c r="G471" s="3" t="str">
        <f t="shared" si="169"/>
        <v>二级</v>
      </c>
    </row>
    <row r="472" customHeight="1" spans="1:7">
      <c r="A472" s="3" t="str">
        <f>"1671"</f>
        <v>1671</v>
      </c>
      <c r="B472" s="3" t="s">
        <v>1218</v>
      </c>
      <c r="C472" s="3" t="str">
        <f>"青园街道"</f>
        <v>青园街道</v>
      </c>
      <c r="D472" s="3" t="str">
        <f>"青园社区"</f>
        <v>青园社区</v>
      </c>
      <c r="E472" s="3" t="str">
        <f t="shared" si="164"/>
        <v>140</v>
      </c>
      <c r="F472" s="3" t="str">
        <f t="shared" si="162"/>
        <v>100</v>
      </c>
      <c r="G472" s="3" t="str">
        <f t="shared" si="169"/>
        <v>二级</v>
      </c>
    </row>
    <row r="473" customHeight="1" spans="1:7">
      <c r="A473" s="3" t="str">
        <f>"1672"</f>
        <v>1672</v>
      </c>
      <c r="B473" s="3" t="s">
        <v>1219</v>
      </c>
      <c r="C473" s="3" t="str">
        <f t="shared" ref="C473:C479" si="172">"坡子街街道"</f>
        <v>坡子街街道</v>
      </c>
      <c r="D473" s="3" t="str">
        <f>"文庙坪社区"</f>
        <v>文庙坪社区</v>
      </c>
      <c r="E473" s="3" t="str">
        <f t="shared" si="164"/>
        <v>140</v>
      </c>
      <c r="F473" s="3" t="str">
        <f t="shared" si="162"/>
        <v>100</v>
      </c>
      <c r="G473" s="3" t="str">
        <f>"一级"</f>
        <v>一级</v>
      </c>
    </row>
    <row r="474" customHeight="1" spans="1:7">
      <c r="A474" s="3" t="str">
        <f>"1673"</f>
        <v>1673</v>
      </c>
      <c r="B474" s="3" t="s">
        <v>1220</v>
      </c>
      <c r="C474" s="3" t="str">
        <f t="shared" si="172"/>
        <v>坡子街街道</v>
      </c>
      <c r="D474" s="3" t="str">
        <f>"文庙坪社区"</f>
        <v>文庙坪社区</v>
      </c>
      <c r="E474" s="3" t="str">
        <f t="shared" si="164"/>
        <v>140</v>
      </c>
      <c r="F474" s="3" t="str">
        <f t="shared" si="162"/>
        <v>100</v>
      </c>
      <c r="G474" s="3" t="str">
        <f t="shared" ref="G474:G477" si="173">"二级"</f>
        <v>二级</v>
      </c>
    </row>
    <row r="475" customHeight="1" spans="1:7">
      <c r="A475" s="3" t="str">
        <f>"1674"</f>
        <v>1674</v>
      </c>
      <c r="B475" s="3" t="s">
        <v>1221</v>
      </c>
      <c r="C475" s="3" t="str">
        <f t="shared" si="172"/>
        <v>坡子街街道</v>
      </c>
      <c r="D475" s="3" t="str">
        <f t="shared" ref="D475:D478" si="174">"登仁桥社区"</f>
        <v>登仁桥社区</v>
      </c>
      <c r="E475" s="3" t="str">
        <f t="shared" si="164"/>
        <v>140</v>
      </c>
      <c r="F475" s="3" t="str">
        <f t="shared" si="162"/>
        <v>100</v>
      </c>
      <c r="G475" s="3" t="str">
        <f t="shared" si="173"/>
        <v>二级</v>
      </c>
    </row>
    <row r="476" customHeight="1" spans="1:7">
      <c r="A476" s="3" t="str">
        <f>"1675"</f>
        <v>1675</v>
      </c>
      <c r="B476" s="3" t="s">
        <v>797</v>
      </c>
      <c r="C476" s="3" t="str">
        <f t="shared" si="172"/>
        <v>坡子街街道</v>
      </c>
      <c r="D476" s="3" t="str">
        <f>"青山祠社区"</f>
        <v>青山祠社区</v>
      </c>
      <c r="E476" s="3" t="str">
        <f t="shared" si="164"/>
        <v>140</v>
      </c>
      <c r="F476" s="3" t="str">
        <f t="shared" si="162"/>
        <v>100</v>
      </c>
      <c r="G476" s="3" t="str">
        <f t="shared" si="173"/>
        <v>二级</v>
      </c>
    </row>
    <row r="477" customHeight="1" spans="1:7">
      <c r="A477" s="3" t="str">
        <f>"1676"</f>
        <v>1676</v>
      </c>
      <c r="B477" s="3" t="s">
        <v>125</v>
      </c>
      <c r="C477" s="3" t="str">
        <f t="shared" si="172"/>
        <v>坡子街街道</v>
      </c>
      <c r="D477" s="3" t="str">
        <f t="shared" si="174"/>
        <v>登仁桥社区</v>
      </c>
      <c r="E477" s="3" t="str">
        <f t="shared" si="164"/>
        <v>140</v>
      </c>
      <c r="F477" s="3" t="str">
        <f t="shared" si="162"/>
        <v>100</v>
      </c>
      <c r="G477" s="3" t="str">
        <f t="shared" si="173"/>
        <v>二级</v>
      </c>
    </row>
    <row r="478" customHeight="1" spans="1:7">
      <c r="A478" s="3" t="str">
        <f>"1677"</f>
        <v>1677</v>
      </c>
      <c r="B478" s="3" t="s">
        <v>1222</v>
      </c>
      <c r="C478" s="3" t="str">
        <f t="shared" si="172"/>
        <v>坡子街街道</v>
      </c>
      <c r="D478" s="3" t="str">
        <f t="shared" si="174"/>
        <v>登仁桥社区</v>
      </c>
      <c r="E478" s="3" t="str">
        <f t="shared" si="164"/>
        <v>140</v>
      </c>
      <c r="F478" s="3" t="str">
        <f t="shared" si="162"/>
        <v>100</v>
      </c>
      <c r="G478" s="3" t="str">
        <f>"一级"</f>
        <v>一级</v>
      </c>
    </row>
    <row r="479" customHeight="1" spans="1:7">
      <c r="A479" s="3" t="str">
        <f>"1678"</f>
        <v>1678</v>
      </c>
      <c r="B479" s="3" t="s">
        <v>1223</v>
      </c>
      <c r="C479" s="3" t="str">
        <f t="shared" si="172"/>
        <v>坡子街街道</v>
      </c>
      <c r="D479" s="3" t="str">
        <f>"文庙坪社区"</f>
        <v>文庙坪社区</v>
      </c>
      <c r="E479" s="3" t="str">
        <f t="shared" si="164"/>
        <v>140</v>
      </c>
      <c r="F479" s="3" t="str">
        <f t="shared" si="162"/>
        <v>100</v>
      </c>
      <c r="G479" s="3" t="str">
        <f t="shared" ref="G479:G482" si="175">"二级"</f>
        <v>二级</v>
      </c>
    </row>
    <row r="480" customHeight="1" spans="1:7">
      <c r="A480" s="3" t="str">
        <f>"1679"</f>
        <v>1679</v>
      </c>
      <c r="B480" s="3" t="s">
        <v>1224</v>
      </c>
      <c r="C480" s="3" t="str">
        <f>"赤岭路街道"</f>
        <v>赤岭路街道</v>
      </c>
      <c r="D480" s="3" t="str">
        <f>"南大桥社区"</f>
        <v>南大桥社区</v>
      </c>
      <c r="E480" s="3" t="str">
        <f t="shared" si="164"/>
        <v>140</v>
      </c>
      <c r="F480" s="3" t="str">
        <f t="shared" si="162"/>
        <v>100</v>
      </c>
      <c r="G480" s="3" t="str">
        <f t="shared" si="175"/>
        <v>二级</v>
      </c>
    </row>
    <row r="481" customHeight="1" spans="1:7">
      <c r="A481" s="3" t="str">
        <f>"1680"</f>
        <v>1680</v>
      </c>
      <c r="B481" s="3" t="s">
        <v>1144</v>
      </c>
      <c r="C481" s="3" t="str">
        <f>"裕南街街道"</f>
        <v>裕南街街道</v>
      </c>
      <c r="D481" s="3" t="str">
        <f>"宝塔山社区"</f>
        <v>宝塔山社区</v>
      </c>
      <c r="E481" s="3" t="str">
        <f t="shared" si="164"/>
        <v>140</v>
      </c>
      <c r="F481" s="3" t="str">
        <f t="shared" si="162"/>
        <v>100</v>
      </c>
      <c r="G481" s="3" t="str">
        <f t="shared" si="175"/>
        <v>二级</v>
      </c>
    </row>
    <row r="482" customHeight="1" spans="1:7">
      <c r="A482" s="3" t="str">
        <f>"1681"</f>
        <v>1681</v>
      </c>
      <c r="B482" s="3" t="s">
        <v>1225</v>
      </c>
      <c r="C482" s="3" t="str">
        <f t="shared" ref="C482:C486" si="176">"坡子街街道"</f>
        <v>坡子街街道</v>
      </c>
      <c r="D482" s="3" t="str">
        <f>"登仁桥社区"</f>
        <v>登仁桥社区</v>
      </c>
      <c r="E482" s="3" t="str">
        <f t="shared" si="164"/>
        <v>140</v>
      </c>
      <c r="F482" s="3" t="str">
        <f t="shared" si="162"/>
        <v>100</v>
      </c>
      <c r="G482" s="3" t="str">
        <f t="shared" si="175"/>
        <v>二级</v>
      </c>
    </row>
    <row r="483" customHeight="1" spans="1:7">
      <c r="A483" s="3" t="str">
        <f>"1682"</f>
        <v>1682</v>
      </c>
      <c r="B483" s="3" t="s">
        <v>1226</v>
      </c>
      <c r="C483" s="3" t="str">
        <f t="shared" si="176"/>
        <v>坡子街街道</v>
      </c>
      <c r="D483" s="3" t="str">
        <f>"坡子街社区"</f>
        <v>坡子街社区</v>
      </c>
      <c r="E483" s="3" t="str">
        <f t="shared" si="164"/>
        <v>140</v>
      </c>
      <c r="F483" s="3" t="str">
        <f t="shared" si="162"/>
        <v>100</v>
      </c>
      <c r="G483" s="3" t="str">
        <f t="shared" ref="G483:G486" si="177">"一级"</f>
        <v>一级</v>
      </c>
    </row>
    <row r="484" customHeight="1" spans="1:7">
      <c r="A484" s="3" t="str">
        <f>"1683"</f>
        <v>1683</v>
      </c>
      <c r="B484" s="3" t="s">
        <v>386</v>
      </c>
      <c r="C484" s="3" t="str">
        <f>"赤岭路街道"</f>
        <v>赤岭路街道</v>
      </c>
      <c r="D484" s="3" t="str">
        <f>"新丰社区"</f>
        <v>新丰社区</v>
      </c>
      <c r="E484" s="3" t="str">
        <f t="shared" si="164"/>
        <v>140</v>
      </c>
      <c r="F484" s="3" t="str">
        <f t="shared" si="162"/>
        <v>100</v>
      </c>
      <c r="G484" s="3" t="str">
        <f t="shared" si="177"/>
        <v>一级</v>
      </c>
    </row>
    <row r="485" customHeight="1" spans="1:7">
      <c r="A485" s="3" t="str">
        <f>"1684"</f>
        <v>1684</v>
      </c>
      <c r="B485" s="3" t="s">
        <v>1227</v>
      </c>
      <c r="C485" s="3" t="str">
        <f t="shared" ref="C485:C488" si="178">"裕南街街道"</f>
        <v>裕南街街道</v>
      </c>
      <c r="D485" s="3" t="str">
        <f>"石子冲社区"</f>
        <v>石子冲社区</v>
      </c>
      <c r="E485" s="3" t="str">
        <f t="shared" si="164"/>
        <v>140</v>
      </c>
      <c r="F485" s="3" t="str">
        <f t="shared" si="162"/>
        <v>100</v>
      </c>
      <c r="G485" s="3" t="str">
        <f t="shared" si="177"/>
        <v>一级</v>
      </c>
    </row>
    <row r="486" customHeight="1" spans="1:7">
      <c r="A486" s="3" t="str">
        <f>"1685"</f>
        <v>1685</v>
      </c>
      <c r="B486" s="3" t="s">
        <v>125</v>
      </c>
      <c r="C486" s="3" t="str">
        <f t="shared" si="176"/>
        <v>坡子街街道</v>
      </c>
      <c r="D486" s="3" t="str">
        <f>"创远社区"</f>
        <v>创远社区</v>
      </c>
      <c r="E486" s="3" t="str">
        <f t="shared" si="164"/>
        <v>140</v>
      </c>
      <c r="F486" s="3" t="str">
        <f t="shared" si="162"/>
        <v>100</v>
      </c>
      <c r="G486" s="3" t="str">
        <f t="shared" si="177"/>
        <v>一级</v>
      </c>
    </row>
    <row r="487" customHeight="1" spans="1:7">
      <c r="A487" s="3" t="str">
        <f>"1686"</f>
        <v>1686</v>
      </c>
      <c r="B487" s="3" t="s">
        <v>80</v>
      </c>
      <c r="C487" s="3" t="str">
        <f t="shared" si="178"/>
        <v>裕南街街道</v>
      </c>
      <c r="D487" s="3" t="str">
        <f>"仰天湖社区"</f>
        <v>仰天湖社区</v>
      </c>
      <c r="E487" s="3" t="str">
        <f t="shared" si="164"/>
        <v>140</v>
      </c>
      <c r="F487" s="3" t="str">
        <f t="shared" si="162"/>
        <v>100</v>
      </c>
      <c r="G487" s="3" t="str">
        <f t="shared" ref="G487:G490" si="179">"二级"</f>
        <v>二级</v>
      </c>
    </row>
    <row r="488" customHeight="1" spans="1:7">
      <c r="A488" s="3" t="str">
        <f>"1687"</f>
        <v>1687</v>
      </c>
      <c r="B488" s="3" t="s">
        <v>501</v>
      </c>
      <c r="C488" s="3" t="str">
        <f t="shared" si="178"/>
        <v>裕南街街道</v>
      </c>
      <c r="D488" s="3" t="str">
        <f>"石子冲社区"</f>
        <v>石子冲社区</v>
      </c>
      <c r="E488" s="3" t="str">
        <f t="shared" si="164"/>
        <v>140</v>
      </c>
      <c r="F488" s="3" t="str">
        <f t="shared" si="162"/>
        <v>100</v>
      </c>
      <c r="G488" s="3" t="str">
        <f t="shared" si="179"/>
        <v>二级</v>
      </c>
    </row>
    <row r="489" customHeight="1" spans="1:7">
      <c r="A489" s="3" t="str">
        <f>"1688"</f>
        <v>1688</v>
      </c>
      <c r="B489" s="3" t="s">
        <v>125</v>
      </c>
      <c r="C489" s="3" t="str">
        <f>"城南路街道"</f>
        <v>城南路街道</v>
      </c>
      <c r="D489" s="3" t="str">
        <f>"吴家坪社区"</f>
        <v>吴家坪社区</v>
      </c>
      <c r="E489" s="3" t="str">
        <f t="shared" si="164"/>
        <v>140</v>
      </c>
      <c r="F489" s="3" t="str">
        <f t="shared" si="162"/>
        <v>100</v>
      </c>
      <c r="G489" s="3" t="str">
        <f>"一级"</f>
        <v>一级</v>
      </c>
    </row>
    <row r="490" customHeight="1" spans="1:7">
      <c r="A490" s="3" t="str">
        <f>"1689"</f>
        <v>1689</v>
      </c>
      <c r="B490" s="3" t="s">
        <v>1228</v>
      </c>
      <c r="C490" s="3" t="str">
        <f>"裕南街街道"</f>
        <v>裕南街街道</v>
      </c>
      <c r="D490" s="3" t="str">
        <f>"宝塔山社区"</f>
        <v>宝塔山社区</v>
      </c>
      <c r="E490" s="3" t="str">
        <f t="shared" si="164"/>
        <v>140</v>
      </c>
      <c r="F490" s="3" t="str">
        <f t="shared" si="162"/>
        <v>100</v>
      </c>
      <c r="G490" s="3" t="str">
        <f t="shared" si="179"/>
        <v>二级</v>
      </c>
    </row>
    <row r="491" customHeight="1" spans="1:7">
      <c r="A491" s="3" t="str">
        <f>"1690"</f>
        <v>1690</v>
      </c>
      <c r="B491" s="3" t="s">
        <v>428</v>
      </c>
      <c r="C491" s="3" t="str">
        <f>"黑石铺街道"</f>
        <v>黑石铺街道</v>
      </c>
      <c r="D491" s="3" t="str">
        <f>"一力社区"</f>
        <v>一力社区</v>
      </c>
      <c r="E491" s="3" t="str">
        <f t="shared" si="164"/>
        <v>140</v>
      </c>
      <c r="F491" s="3" t="str">
        <f t="shared" si="162"/>
        <v>100</v>
      </c>
      <c r="G491" s="3" t="str">
        <f>"一级"</f>
        <v>一级</v>
      </c>
    </row>
    <row r="492" customHeight="1" spans="1:7">
      <c r="A492" s="3" t="str">
        <f>"1691"</f>
        <v>1691</v>
      </c>
      <c r="B492" s="3" t="s">
        <v>1229</v>
      </c>
      <c r="C492" s="3" t="str">
        <f>"坡子街街道"</f>
        <v>坡子街街道</v>
      </c>
      <c r="D492" s="3" t="str">
        <f>"青山祠社区"</f>
        <v>青山祠社区</v>
      </c>
      <c r="E492" s="3" t="str">
        <f t="shared" si="164"/>
        <v>140</v>
      </c>
      <c r="F492" s="3" t="str">
        <f t="shared" si="162"/>
        <v>100</v>
      </c>
      <c r="G492" s="3" t="str">
        <f t="shared" ref="G492:G502" si="180">"二级"</f>
        <v>二级</v>
      </c>
    </row>
    <row r="493" customHeight="1" spans="1:7">
      <c r="A493" s="3" t="str">
        <f>"1692"</f>
        <v>1692</v>
      </c>
      <c r="B493" s="3" t="s">
        <v>1230</v>
      </c>
      <c r="C493" s="3" t="str">
        <f>"城南路街道"</f>
        <v>城南路街道</v>
      </c>
      <c r="D493" s="3" t="str">
        <f>"古道巷社区"</f>
        <v>古道巷社区</v>
      </c>
      <c r="E493" s="3" t="str">
        <f t="shared" si="164"/>
        <v>140</v>
      </c>
      <c r="F493" s="3" t="str">
        <f t="shared" si="162"/>
        <v>100</v>
      </c>
      <c r="G493" s="3" t="str">
        <f t="shared" si="180"/>
        <v>二级</v>
      </c>
    </row>
    <row r="494" customHeight="1" spans="1:7">
      <c r="A494" s="3" t="str">
        <f>"1693"</f>
        <v>1693</v>
      </c>
      <c r="B494" s="3" t="s">
        <v>420</v>
      </c>
      <c r="C494" s="3" t="str">
        <f>"赤岭路街道"</f>
        <v>赤岭路街道</v>
      </c>
      <c r="D494" s="3" t="str">
        <f>"猴子石社区"</f>
        <v>猴子石社区</v>
      </c>
      <c r="E494" s="3" t="str">
        <f t="shared" si="164"/>
        <v>140</v>
      </c>
      <c r="F494" s="3" t="str">
        <f t="shared" si="162"/>
        <v>100</v>
      </c>
      <c r="G494" s="3" t="str">
        <f t="shared" si="180"/>
        <v>二级</v>
      </c>
    </row>
    <row r="495" customHeight="1" spans="1:7">
      <c r="A495" s="3" t="str">
        <f>"1694"</f>
        <v>1694</v>
      </c>
      <c r="B495" s="3" t="s">
        <v>1231</v>
      </c>
      <c r="C495" s="3" t="str">
        <f t="shared" ref="C495:C498" si="181">"新开铺街道"</f>
        <v>新开铺街道</v>
      </c>
      <c r="D495" s="3" t="str">
        <f>"新天村委会"</f>
        <v>新天村委会</v>
      </c>
      <c r="E495" s="3" t="str">
        <f t="shared" si="164"/>
        <v>140</v>
      </c>
      <c r="F495" s="3" t="str">
        <f t="shared" si="162"/>
        <v>100</v>
      </c>
      <c r="G495" s="3" t="str">
        <f t="shared" si="180"/>
        <v>二级</v>
      </c>
    </row>
    <row r="496" customHeight="1" spans="1:7">
      <c r="A496" s="3" t="str">
        <f>"1695"</f>
        <v>1695</v>
      </c>
      <c r="B496" s="3" t="s">
        <v>1232</v>
      </c>
      <c r="C496" s="3" t="str">
        <f>"赤岭路街道"</f>
        <v>赤岭路街道</v>
      </c>
      <c r="D496" s="3" t="str">
        <f>"白沙花园社区"</f>
        <v>白沙花园社区</v>
      </c>
      <c r="E496" s="3" t="str">
        <f t="shared" si="164"/>
        <v>140</v>
      </c>
      <c r="F496" s="3" t="str">
        <f t="shared" si="162"/>
        <v>100</v>
      </c>
      <c r="G496" s="3" t="str">
        <f t="shared" si="180"/>
        <v>二级</v>
      </c>
    </row>
    <row r="497" customHeight="1" spans="1:7">
      <c r="A497" s="3" t="str">
        <f>"1696"</f>
        <v>1696</v>
      </c>
      <c r="B497" s="3" t="s">
        <v>1233</v>
      </c>
      <c r="C497" s="3" t="str">
        <f t="shared" si="181"/>
        <v>新开铺街道</v>
      </c>
      <c r="D497" s="3" t="str">
        <f t="shared" ref="D497:D500" si="182">"新开铺社区"</f>
        <v>新开铺社区</v>
      </c>
      <c r="E497" s="3" t="str">
        <f t="shared" si="164"/>
        <v>140</v>
      </c>
      <c r="F497" s="3" t="str">
        <f t="shared" si="162"/>
        <v>100</v>
      </c>
      <c r="G497" s="3" t="str">
        <f t="shared" si="180"/>
        <v>二级</v>
      </c>
    </row>
    <row r="498" customHeight="1" spans="1:7">
      <c r="A498" s="3" t="str">
        <f>"1697"</f>
        <v>1697</v>
      </c>
      <c r="B498" s="3" t="s">
        <v>27</v>
      </c>
      <c r="C498" s="3" t="str">
        <f t="shared" si="181"/>
        <v>新开铺街道</v>
      </c>
      <c r="D498" s="3" t="str">
        <f t="shared" si="182"/>
        <v>新开铺社区</v>
      </c>
      <c r="E498" s="3" t="str">
        <f t="shared" si="164"/>
        <v>140</v>
      </c>
      <c r="F498" s="3" t="str">
        <f t="shared" si="162"/>
        <v>100</v>
      </c>
      <c r="G498" s="3" t="str">
        <f t="shared" si="180"/>
        <v>二级</v>
      </c>
    </row>
    <row r="499" customHeight="1" spans="1:7">
      <c r="A499" s="3" t="str">
        <f>"1698"</f>
        <v>1698</v>
      </c>
      <c r="B499" s="3" t="s">
        <v>616</v>
      </c>
      <c r="C499" s="3" t="str">
        <f>"先锋街道"</f>
        <v>先锋街道</v>
      </c>
      <c r="D499" s="3" t="str">
        <f>"新宇社区"</f>
        <v>新宇社区</v>
      </c>
      <c r="E499" s="3" t="str">
        <f t="shared" si="164"/>
        <v>140</v>
      </c>
      <c r="F499" s="3" t="str">
        <f t="shared" si="162"/>
        <v>100</v>
      </c>
      <c r="G499" s="3" t="str">
        <f t="shared" si="180"/>
        <v>二级</v>
      </c>
    </row>
    <row r="500" customHeight="1" spans="1:7">
      <c r="A500" s="3" t="str">
        <f>"1699"</f>
        <v>1699</v>
      </c>
      <c r="B500" s="3" t="s">
        <v>80</v>
      </c>
      <c r="C500" s="3" t="str">
        <f>"新开铺街道"</f>
        <v>新开铺街道</v>
      </c>
      <c r="D500" s="3" t="str">
        <f t="shared" si="182"/>
        <v>新开铺社区</v>
      </c>
      <c r="E500" s="3" t="str">
        <f t="shared" si="164"/>
        <v>140</v>
      </c>
      <c r="F500" s="3" t="str">
        <f t="shared" si="162"/>
        <v>100</v>
      </c>
      <c r="G500" s="3" t="str">
        <f t="shared" si="180"/>
        <v>二级</v>
      </c>
    </row>
    <row r="501" customHeight="1" spans="1:7">
      <c r="A501" s="3" t="str">
        <f>"1700"</f>
        <v>1700</v>
      </c>
      <c r="B501" s="3" t="s">
        <v>717</v>
      </c>
      <c r="C501" s="3" t="str">
        <f t="shared" ref="C501:C506" si="183">"坡子街街道"</f>
        <v>坡子街街道</v>
      </c>
      <c r="D501" s="3" t="str">
        <f>"碧湘社区"</f>
        <v>碧湘社区</v>
      </c>
      <c r="E501" s="3" t="str">
        <f t="shared" si="164"/>
        <v>140</v>
      </c>
      <c r="F501" s="3" t="str">
        <f t="shared" si="162"/>
        <v>100</v>
      </c>
      <c r="G501" s="3" t="str">
        <f t="shared" si="180"/>
        <v>二级</v>
      </c>
    </row>
    <row r="502" customHeight="1" spans="1:7">
      <c r="A502" s="3" t="str">
        <f>"1701"</f>
        <v>1701</v>
      </c>
      <c r="B502" s="3" t="s">
        <v>1234</v>
      </c>
      <c r="C502" s="3" t="str">
        <f t="shared" si="183"/>
        <v>坡子街街道</v>
      </c>
      <c r="D502" s="3" t="str">
        <f>"登仁桥社区"</f>
        <v>登仁桥社区</v>
      </c>
      <c r="E502" s="3" t="str">
        <f t="shared" si="164"/>
        <v>140</v>
      </c>
      <c r="F502" s="3" t="str">
        <f t="shared" si="162"/>
        <v>100</v>
      </c>
      <c r="G502" s="3" t="str">
        <f t="shared" si="180"/>
        <v>二级</v>
      </c>
    </row>
    <row r="503" customHeight="1" spans="1:7">
      <c r="A503" s="3" t="str">
        <f>"1702"</f>
        <v>1702</v>
      </c>
      <c r="B503" s="3" t="s">
        <v>331</v>
      </c>
      <c r="C503" s="3" t="str">
        <f>"金盆岭街道"</f>
        <v>金盆岭街道</v>
      </c>
      <c r="D503" s="3" t="str">
        <f>"夏家冲社区"</f>
        <v>夏家冲社区</v>
      </c>
      <c r="E503" s="3" t="str">
        <f t="shared" si="164"/>
        <v>140</v>
      </c>
      <c r="F503" s="3" t="str">
        <f t="shared" si="162"/>
        <v>100</v>
      </c>
      <c r="G503" s="3" t="str">
        <f>"一级"</f>
        <v>一级</v>
      </c>
    </row>
    <row r="504" customHeight="1" spans="1:7">
      <c r="A504" s="3" t="str">
        <f>"1703"</f>
        <v>1703</v>
      </c>
      <c r="B504" s="3" t="s">
        <v>1142</v>
      </c>
      <c r="C504" s="3" t="str">
        <f>"新开铺街道"</f>
        <v>新开铺街道</v>
      </c>
      <c r="D504" s="3" t="str">
        <f>"新开铺社区"</f>
        <v>新开铺社区</v>
      </c>
      <c r="E504" s="3" t="str">
        <f t="shared" si="164"/>
        <v>140</v>
      </c>
      <c r="F504" s="3" t="str">
        <f t="shared" si="162"/>
        <v>100</v>
      </c>
      <c r="G504" s="3" t="str">
        <f t="shared" ref="G504:G508" si="184">"二级"</f>
        <v>二级</v>
      </c>
    </row>
    <row r="505" customHeight="1" spans="1:7">
      <c r="A505" s="3" t="str">
        <f>"1704"</f>
        <v>1704</v>
      </c>
      <c r="B505" s="3" t="s">
        <v>605</v>
      </c>
      <c r="C505" s="3" t="str">
        <f>"裕南街街道"</f>
        <v>裕南街街道</v>
      </c>
      <c r="D505" s="3" t="str">
        <f>"长坡社区"</f>
        <v>长坡社区</v>
      </c>
      <c r="E505" s="3" t="str">
        <f t="shared" si="164"/>
        <v>140</v>
      </c>
      <c r="F505" s="3" t="str">
        <f t="shared" si="162"/>
        <v>100</v>
      </c>
      <c r="G505" s="3" t="str">
        <f t="shared" si="184"/>
        <v>二级</v>
      </c>
    </row>
    <row r="506" customHeight="1" spans="1:7">
      <c r="A506" s="3" t="str">
        <f>"1705"</f>
        <v>1705</v>
      </c>
      <c r="B506" s="3" t="s">
        <v>1235</v>
      </c>
      <c r="C506" s="3" t="str">
        <f t="shared" si="183"/>
        <v>坡子街街道</v>
      </c>
      <c r="D506" s="3" t="str">
        <f>"楚湘社区"</f>
        <v>楚湘社区</v>
      </c>
      <c r="E506" s="3" t="str">
        <f t="shared" si="164"/>
        <v>140</v>
      </c>
      <c r="F506" s="3" t="str">
        <f t="shared" si="162"/>
        <v>100</v>
      </c>
      <c r="G506" s="3" t="str">
        <f t="shared" si="184"/>
        <v>二级</v>
      </c>
    </row>
    <row r="507" customHeight="1" spans="1:7">
      <c r="A507" s="3" t="str">
        <f>"1706"</f>
        <v>1706</v>
      </c>
      <c r="B507" s="3" t="s">
        <v>1236</v>
      </c>
      <c r="C507" s="3" t="str">
        <f>"裕南街街道"</f>
        <v>裕南街街道</v>
      </c>
      <c r="D507" s="3" t="str">
        <f>"石子冲社区"</f>
        <v>石子冲社区</v>
      </c>
      <c r="E507" s="3" t="str">
        <f t="shared" si="164"/>
        <v>140</v>
      </c>
      <c r="F507" s="3" t="str">
        <f t="shared" si="162"/>
        <v>100</v>
      </c>
      <c r="G507" s="3" t="str">
        <f t="shared" si="184"/>
        <v>二级</v>
      </c>
    </row>
    <row r="508" customHeight="1" spans="1:7">
      <c r="A508" s="3" t="str">
        <f>"1707"</f>
        <v>1707</v>
      </c>
      <c r="B508" s="3" t="s">
        <v>1237</v>
      </c>
      <c r="C508" s="3" t="str">
        <f>"坡子街街道"</f>
        <v>坡子街街道</v>
      </c>
      <c r="D508" s="3" t="str">
        <f>"创远社区"</f>
        <v>创远社区</v>
      </c>
      <c r="E508" s="3" t="str">
        <f t="shared" si="164"/>
        <v>140</v>
      </c>
      <c r="F508" s="3" t="str">
        <f t="shared" si="162"/>
        <v>100</v>
      </c>
      <c r="G508" s="3" t="str">
        <f t="shared" si="184"/>
        <v>二级</v>
      </c>
    </row>
    <row r="509" customHeight="1" spans="1:7">
      <c r="A509" s="3" t="str">
        <f>"1708"</f>
        <v>1708</v>
      </c>
      <c r="B509" s="3" t="s">
        <v>11</v>
      </c>
      <c r="C509" s="3" t="str">
        <f>"坡子街街道"</f>
        <v>坡子街街道</v>
      </c>
      <c r="D509" s="3" t="str">
        <f>"碧湘社区"</f>
        <v>碧湘社区</v>
      </c>
      <c r="E509" s="3" t="str">
        <f t="shared" si="164"/>
        <v>140</v>
      </c>
      <c r="F509" s="3" t="str">
        <f t="shared" si="162"/>
        <v>100</v>
      </c>
      <c r="G509" s="3" t="str">
        <f t="shared" ref="G509:G514" si="185">"一级"</f>
        <v>一级</v>
      </c>
    </row>
    <row r="510" customHeight="1" spans="1:7">
      <c r="A510" s="3" t="str">
        <f>"1709"</f>
        <v>1709</v>
      </c>
      <c r="B510" s="3" t="s">
        <v>1238</v>
      </c>
      <c r="C510" s="3" t="str">
        <f>"赤岭路街道"</f>
        <v>赤岭路街道</v>
      </c>
      <c r="D510" s="3" t="str">
        <f>"新丰社区"</f>
        <v>新丰社区</v>
      </c>
      <c r="E510" s="3" t="str">
        <f t="shared" si="164"/>
        <v>140</v>
      </c>
      <c r="F510" s="3" t="str">
        <f t="shared" si="162"/>
        <v>100</v>
      </c>
      <c r="G510" s="3" t="str">
        <f t="shared" si="185"/>
        <v>一级</v>
      </c>
    </row>
    <row r="511" customHeight="1" spans="1:7">
      <c r="A511" s="3" t="str">
        <f>"1710"</f>
        <v>1710</v>
      </c>
      <c r="B511" s="3" t="s">
        <v>1239</v>
      </c>
      <c r="C511" s="3" t="str">
        <f t="shared" ref="C511:C518" si="186">"裕南街街道"</f>
        <v>裕南街街道</v>
      </c>
      <c r="D511" s="3" t="str">
        <f>"仰天湖社区"</f>
        <v>仰天湖社区</v>
      </c>
      <c r="E511" s="3" t="str">
        <f t="shared" si="164"/>
        <v>140</v>
      </c>
      <c r="F511" s="3" t="str">
        <f t="shared" ref="F511:F574" si="187">"100"</f>
        <v>100</v>
      </c>
      <c r="G511" s="3" t="str">
        <f t="shared" ref="G511:G513" si="188">"二级"</f>
        <v>二级</v>
      </c>
    </row>
    <row r="512" customHeight="1" spans="1:7">
      <c r="A512" s="3" t="str">
        <f>"1711"</f>
        <v>1711</v>
      </c>
      <c r="B512" s="3" t="s">
        <v>1240</v>
      </c>
      <c r="C512" s="3" t="str">
        <f>"城南路街道"</f>
        <v>城南路街道</v>
      </c>
      <c r="D512" s="3" t="str">
        <f>"古道巷社区"</f>
        <v>古道巷社区</v>
      </c>
      <c r="E512" s="3" t="str">
        <f t="shared" si="164"/>
        <v>140</v>
      </c>
      <c r="F512" s="3" t="str">
        <f t="shared" si="187"/>
        <v>100</v>
      </c>
      <c r="G512" s="3" t="str">
        <f t="shared" si="188"/>
        <v>二级</v>
      </c>
    </row>
    <row r="513" customHeight="1" spans="1:7">
      <c r="A513" s="3" t="str">
        <f>"1712"</f>
        <v>1712</v>
      </c>
      <c r="B513" s="3" t="s">
        <v>140</v>
      </c>
      <c r="C513" s="3" t="str">
        <f t="shared" si="186"/>
        <v>裕南街街道</v>
      </c>
      <c r="D513" s="3" t="str">
        <f>"东瓜山社区"</f>
        <v>东瓜山社区</v>
      </c>
      <c r="E513" s="3" t="str">
        <f t="shared" si="164"/>
        <v>140</v>
      </c>
      <c r="F513" s="3" t="str">
        <f t="shared" si="187"/>
        <v>100</v>
      </c>
      <c r="G513" s="3" t="str">
        <f t="shared" si="188"/>
        <v>二级</v>
      </c>
    </row>
    <row r="514" customHeight="1" spans="1:7">
      <c r="A514" s="3" t="str">
        <f>"1713"</f>
        <v>1713</v>
      </c>
      <c r="B514" s="3" t="s">
        <v>1241</v>
      </c>
      <c r="C514" s="3" t="str">
        <f>"坡子街街道"</f>
        <v>坡子街街道</v>
      </c>
      <c r="D514" s="3" t="str">
        <f>"青山祠社区"</f>
        <v>青山祠社区</v>
      </c>
      <c r="E514" s="3" t="str">
        <f t="shared" ref="E514:E577" si="189">"140"</f>
        <v>140</v>
      </c>
      <c r="F514" s="3" t="str">
        <f t="shared" si="187"/>
        <v>100</v>
      </c>
      <c r="G514" s="3" t="str">
        <f t="shared" si="185"/>
        <v>一级</v>
      </c>
    </row>
    <row r="515" customHeight="1" spans="1:7">
      <c r="A515" s="3" t="str">
        <f>"1714"</f>
        <v>1714</v>
      </c>
      <c r="B515" s="3" t="s">
        <v>1242</v>
      </c>
      <c r="C515" s="3" t="str">
        <f>"金盆岭街道"</f>
        <v>金盆岭街道</v>
      </c>
      <c r="D515" s="3" t="str">
        <f>"天剑社区"</f>
        <v>天剑社区</v>
      </c>
      <c r="E515" s="3" t="str">
        <f t="shared" si="189"/>
        <v>140</v>
      </c>
      <c r="F515" s="3" t="str">
        <f t="shared" si="187"/>
        <v>100</v>
      </c>
      <c r="G515" s="3" t="str">
        <f t="shared" ref="G515:G523" si="190">"二级"</f>
        <v>二级</v>
      </c>
    </row>
    <row r="516" customHeight="1" spans="1:7">
      <c r="A516" s="3" t="str">
        <f>"1715"</f>
        <v>1715</v>
      </c>
      <c r="B516" s="3" t="s">
        <v>484</v>
      </c>
      <c r="C516" s="3" t="str">
        <f t="shared" si="186"/>
        <v>裕南街街道</v>
      </c>
      <c r="D516" s="3" t="str">
        <f>"石子冲社区"</f>
        <v>石子冲社区</v>
      </c>
      <c r="E516" s="3" t="str">
        <f t="shared" si="189"/>
        <v>140</v>
      </c>
      <c r="F516" s="3" t="str">
        <f t="shared" si="187"/>
        <v>100</v>
      </c>
      <c r="G516" s="3" t="str">
        <f t="shared" si="190"/>
        <v>二级</v>
      </c>
    </row>
    <row r="517" customHeight="1" spans="1:7">
      <c r="A517" s="3" t="str">
        <f>"1716"</f>
        <v>1716</v>
      </c>
      <c r="B517" s="3" t="s">
        <v>1243</v>
      </c>
      <c r="C517" s="3" t="str">
        <f t="shared" si="186"/>
        <v>裕南街街道</v>
      </c>
      <c r="D517" s="3" t="str">
        <f>"仰天湖社区"</f>
        <v>仰天湖社区</v>
      </c>
      <c r="E517" s="3" t="str">
        <f t="shared" si="189"/>
        <v>140</v>
      </c>
      <c r="F517" s="3" t="str">
        <f t="shared" si="187"/>
        <v>100</v>
      </c>
      <c r="G517" s="3" t="str">
        <f t="shared" si="190"/>
        <v>二级</v>
      </c>
    </row>
    <row r="518" customHeight="1" spans="1:7">
      <c r="A518" s="3" t="str">
        <f>"1717"</f>
        <v>1717</v>
      </c>
      <c r="B518" s="3" t="s">
        <v>70</v>
      </c>
      <c r="C518" s="3" t="str">
        <f t="shared" si="186"/>
        <v>裕南街街道</v>
      </c>
      <c r="D518" s="3" t="str">
        <f>"向东南社区"</f>
        <v>向东南社区</v>
      </c>
      <c r="E518" s="3" t="str">
        <f t="shared" si="189"/>
        <v>140</v>
      </c>
      <c r="F518" s="3" t="str">
        <f t="shared" si="187"/>
        <v>100</v>
      </c>
      <c r="G518" s="3" t="str">
        <f t="shared" si="190"/>
        <v>二级</v>
      </c>
    </row>
    <row r="519" customHeight="1" spans="1:7">
      <c r="A519" s="3" t="str">
        <f>"1718"</f>
        <v>1718</v>
      </c>
      <c r="B519" s="3" t="s">
        <v>76</v>
      </c>
      <c r="C519" s="3" t="str">
        <f>"新开铺街道"</f>
        <v>新开铺街道</v>
      </c>
      <c r="D519" s="3" t="str">
        <f>"豹子岭社区"</f>
        <v>豹子岭社区</v>
      </c>
      <c r="E519" s="3" t="str">
        <f t="shared" si="189"/>
        <v>140</v>
      </c>
      <c r="F519" s="3" t="str">
        <f t="shared" si="187"/>
        <v>100</v>
      </c>
      <c r="G519" s="3" t="str">
        <f t="shared" si="190"/>
        <v>二级</v>
      </c>
    </row>
    <row r="520" customHeight="1" spans="1:7">
      <c r="A520" s="3" t="str">
        <f>"1719"</f>
        <v>1719</v>
      </c>
      <c r="B520" s="3" t="s">
        <v>1244</v>
      </c>
      <c r="C520" s="3" t="str">
        <f>"先锋街道"</f>
        <v>先锋街道</v>
      </c>
      <c r="D520" s="3" t="str">
        <f>"新宇社区"</f>
        <v>新宇社区</v>
      </c>
      <c r="E520" s="3" t="str">
        <f t="shared" si="189"/>
        <v>140</v>
      </c>
      <c r="F520" s="3" t="str">
        <f t="shared" si="187"/>
        <v>100</v>
      </c>
      <c r="G520" s="3" t="str">
        <f t="shared" si="190"/>
        <v>二级</v>
      </c>
    </row>
    <row r="521" customHeight="1" spans="1:7">
      <c r="A521" s="3" t="str">
        <f>"1720"</f>
        <v>1720</v>
      </c>
      <c r="B521" s="3" t="s">
        <v>1245</v>
      </c>
      <c r="C521" s="3" t="str">
        <f>"裕南街街道"</f>
        <v>裕南街街道</v>
      </c>
      <c r="D521" s="3" t="str">
        <f>"宝塔山社区"</f>
        <v>宝塔山社区</v>
      </c>
      <c r="E521" s="3" t="str">
        <f t="shared" si="189"/>
        <v>140</v>
      </c>
      <c r="F521" s="3" t="str">
        <f t="shared" si="187"/>
        <v>100</v>
      </c>
      <c r="G521" s="3" t="str">
        <f t="shared" si="190"/>
        <v>二级</v>
      </c>
    </row>
    <row r="522" customHeight="1" spans="1:7">
      <c r="A522" s="3" t="str">
        <f>"1721"</f>
        <v>1721</v>
      </c>
      <c r="B522" s="3" t="s">
        <v>1246</v>
      </c>
      <c r="C522" s="3" t="str">
        <f>"坡子街街道"</f>
        <v>坡子街街道</v>
      </c>
      <c r="D522" s="3" t="str">
        <f>"登仁桥社区"</f>
        <v>登仁桥社区</v>
      </c>
      <c r="E522" s="3" t="str">
        <f t="shared" si="189"/>
        <v>140</v>
      </c>
      <c r="F522" s="3" t="str">
        <f t="shared" si="187"/>
        <v>100</v>
      </c>
      <c r="G522" s="3" t="str">
        <f t="shared" si="190"/>
        <v>二级</v>
      </c>
    </row>
    <row r="523" customHeight="1" spans="1:7">
      <c r="A523" s="3" t="str">
        <f>"1722"</f>
        <v>1722</v>
      </c>
      <c r="B523" s="3" t="s">
        <v>1247</v>
      </c>
      <c r="C523" s="3" t="str">
        <f>"新开铺街道"</f>
        <v>新开铺街道</v>
      </c>
      <c r="D523" s="3" t="str">
        <f>"新开铺社区"</f>
        <v>新开铺社区</v>
      </c>
      <c r="E523" s="3" t="str">
        <f t="shared" si="189"/>
        <v>140</v>
      </c>
      <c r="F523" s="3" t="str">
        <f t="shared" si="187"/>
        <v>100</v>
      </c>
      <c r="G523" s="3" t="str">
        <f t="shared" si="190"/>
        <v>二级</v>
      </c>
    </row>
    <row r="524" customHeight="1" spans="1:7">
      <c r="A524" s="3" t="str">
        <f>"1723"</f>
        <v>1723</v>
      </c>
      <c r="B524" s="3" t="s">
        <v>146</v>
      </c>
      <c r="C524" s="3" t="str">
        <f>"城南路街道"</f>
        <v>城南路街道</v>
      </c>
      <c r="D524" s="3" t="str">
        <f>"天心阁社区"</f>
        <v>天心阁社区</v>
      </c>
      <c r="E524" s="3" t="str">
        <f t="shared" si="189"/>
        <v>140</v>
      </c>
      <c r="F524" s="3" t="str">
        <f t="shared" si="187"/>
        <v>100</v>
      </c>
      <c r="G524" s="3" t="str">
        <f t="shared" ref="G524:G528" si="191">"一级"</f>
        <v>一级</v>
      </c>
    </row>
    <row r="525" customHeight="1" spans="1:7">
      <c r="A525" s="3" t="str">
        <f>"1724"</f>
        <v>1724</v>
      </c>
      <c r="B525" s="3" t="s">
        <v>28</v>
      </c>
      <c r="C525" s="3" t="str">
        <f>"裕南街街道"</f>
        <v>裕南街街道</v>
      </c>
      <c r="D525" s="3" t="str">
        <f>"石子冲社区"</f>
        <v>石子冲社区</v>
      </c>
      <c r="E525" s="3" t="str">
        <f t="shared" si="189"/>
        <v>140</v>
      </c>
      <c r="F525" s="3" t="str">
        <f t="shared" si="187"/>
        <v>100</v>
      </c>
      <c r="G525" s="3" t="str">
        <f t="shared" si="191"/>
        <v>一级</v>
      </c>
    </row>
    <row r="526" customHeight="1" spans="1:7">
      <c r="A526" s="3" t="str">
        <f>"1725"</f>
        <v>1725</v>
      </c>
      <c r="B526" s="3" t="s">
        <v>487</v>
      </c>
      <c r="C526" s="3" t="str">
        <f>"城南路街道"</f>
        <v>城南路街道</v>
      </c>
      <c r="D526" s="3" t="str">
        <f>"白沙井社区"</f>
        <v>白沙井社区</v>
      </c>
      <c r="E526" s="3" t="str">
        <f t="shared" si="189"/>
        <v>140</v>
      </c>
      <c r="F526" s="3" t="str">
        <f t="shared" si="187"/>
        <v>100</v>
      </c>
      <c r="G526" s="3" t="str">
        <f>"二级"</f>
        <v>二级</v>
      </c>
    </row>
    <row r="527" customHeight="1" spans="1:7">
      <c r="A527" s="3" t="str">
        <f>"1726"</f>
        <v>1726</v>
      </c>
      <c r="B527" s="3" t="s">
        <v>877</v>
      </c>
      <c r="C527" s="3" t="str">
        <f>"桂花坪街道"</f>
        <v>桂花坪街道</v>
      </c>
      <c r="D527" s="3" t="str">
        <f>"桂庄社区"</f>
        <v>桂庄社区</v>
      </c>
      <c r="E527" s="3" t="str">
        <f t="shared" si="189"/>
        <v>140</v>
      </c>
      <c r="F527" s="3" t="str">
        <f t="shared" si="187"/>
        <v>100</v>
      </c>
      <c r="G527" s="3" t="str">
        <f t="shared" si="191"/>
        <v>一级</v>
      </c>
    </row>
    <row r="528" customHeight="1" spans="1:7">
      <c r="A528" s="3" t="str">
        <f>"1727"</f>
        <v>1727</v>
      </c>
      <c r="B528" s="3" t="s">
        <v>1248</v>
      </c>
      <c r="C528" s="3" t="str">
        <f>"桂花坪街道"</f>
        <v>桂花坪街道</v>
      </c>
      <c r="D528" s="3" t="str">
        <f>"桂庄社区"</f>
        <v>桂庄社区</v>
      </c>
      <c r="E528" s="3" t="str">
        <f t="shared" si="189"/>
        <v>140</v>
      </c>
      <c r="F528" s="3" t="str">
        <f t="shared" si="187"/>
        <v>100</v>
      </c>
      <c r="G528" s="3" t="str">
        <f t="shared" si="191"/>
        <v>一级</v>
      </c>
    </row>
    <row r="529" customHeight="1" spans="1:7">
      <c r="A529" s="3" t="str">
        <f>"1728"</f>
        <v>1728</v>
      </c>
      <c r="B529" s="3" t="s">
        <v>1249</v>
      </c>
      <c r="C529" s="3" t="str">
        <f>"大托铺街道"</f>
        <v>大托铺街道</v>
      </c>
      <c r="D529" s="3" t="str">
        <f>"新港村委会"</f>
        <v>新港村委会</v>
      </c>
      <c r="E529" s="3" t="str">
        <f t="shared" si="189"/>
        <v>140</v>
      </c>
      <c r="F529" s="3" t="str">
        <f t="shared" si="187"/>
        <v>100</v>
      </c>
      <c r="G529" s="3" t="str">
        <f t="shared" ref="G529:G537" si="192">"二级"</f>
        <v>二级</v>
      </c>
    </row>
    <row r="530" customHeight="1" spans="1:7">
      <c r="A530" s="3" t="str">
        <f>"1729"</f>
        <v>1729</v>
      </c>
      <c r="B530" s="3" t="s">
        <v>32</v>
      </c>
      <c r="C530" s="3" t="str">
        <f>"黑石铺街道"</f>
        <v>黑石铺街道</v>
      </c>
      <c r="D530" s="3" t="str">
        <f>"一力社区"</f>
        <v>一力社区</v>
      </c>
      <c r="E530" s="3" t="str">
        <f t="shared" si="189"/>
        <v>140</v>
      </c>
      <c r="F530" s="3" t="str">
        <f t="shared" si="187"/>
        <v>100</v>
      </c>
      <c r="G530" s="3" t="str">
        <f t="shared" ref="G530:G533" si="193">"一级"</f>
        <v>一级</v>
      </c>
    </row>
    <row r="531" customHeight="1" spans="1:7">
      <c r="A531" s="3" t="str">
        <f>"1730"</f>
        <v>1730</v>
      </c>
      <c r="B531" s="3" t="s">
        <v>1250</v>
      </c>
      <c r="C531" s="3" t="str">
        <f>"赤岭路街道"</f>
        <v>赤岭路街道</v>
      </c>
      <c r="D531" s="3" t="str">
        <f>"南大桥社区"</f>
        <v>南大桥社区</v>
      </c>
      <c r="E531" s="3" t="str">
        <f t="shared" si="189"/>
        <v>140</v>
      </c>
      <c r="F531" s="3" t="str">
        <f t="shared" si="187"/>
        <v>100</v>
      </c>
      <c r="G531" s="3" t="str">
        <f t="shared" si="193"/>
        <v>一级</v>
      </c>
    </row>
    <row r="532" customHeight="1" spans="1:7">
      <c r="A532" s="3" t="str">
        <f>"1731"</f>
        <v>1731</v>
      </c>
      <c r="B532" s="3" t="s">
        <v>1251</v>
      </c>
      <c r="C532" s="3" t="str">
        <f>"裕南街街道"</f>
        <v>裕南街街道</v>
      </c>
      <c r="D532" s="3" t="str">
        <f>"东瓜山社区"</f>
        <v>东瓜山社区</v>
      </c>
      <c r="E532" s="3" t="str">
        <f t="shared" si="189"/>
        <v>140</v>
      </c>
      <c r="F532" s="3" t="str">
        <f t="shared" si="187"/>
        <v>100</v>
      </c>
      <c r="G532" s="3" t="str">
        <f t="shared" si="192"/>
        <v>二级</v>
      </c>
    </row>
    <row r="533" customHeight="1" spans="1:7">
      <c r="A533" s="3" t="str">
        <f>"1732"</f>
        <v>1732</v>
      </c>
      <c r="B533" s="3" t="s">
        <v>1252</v>
      </c>
      <c r="C533" s="3" t="str">
        <f>"城南路街道"</f>
        <v>城南路街道</v>
      </c>
      <c r="D533" s="3" t="str">
        <f>"燕子岭社区"</f>
        <v>燕子岭社区</v>
      </c>
      <c r="E533" s="3" t="str">
        <f t="shared" si="189"/>
        <v>140</v>
      </c>
      <c r="F533" s="3" t="str">
        <f t="shared" si="187"/>
        <v>100</v>
      </c>
      <c r="G533" s="3" t="str">
        <f t="shared" si="193"/>
        <v>一级</v>
      </c>
    </row>
    <row r="534" customHeight="1" spans="1:7">
      <c r="A534" s="3" t="str">
        <f>"1733"</f>
        <v>1733</v>
      </c>
      <c r="B534" s="3" t="s">
        <v>1253</v>
      </c>
      <c r="C534" s="3" t="str">
        <f>"赤岭路街道"</f>
        <v>赤岭路街道</v>
      </c>
      <c r="D534" s="3" t="str">
        <f>"广厦新村社区"</f>
        <v>广厦新村社区</v>
      </c>
      <c r="E534" s="3" t="str">
        <f t="shared" si="189"/>
        <v>140</v>
      </c>
      <c r="F534" s="3" t="str">
        <f t="shared" si="187"/>
        <v>100</v>
      </c>
      <c r="G534" s="3" t="str">
        <f t="shared" si="192"/>
        <v>二级</v>
      </c>
    </row>
    <row r="535" customHeight="1" spans="1:7">
      <c r="A535" s="3" t="str">
        <f>"1734"</f>
        <v>1734</v>
      </c>
      <c r="B535" s="3" t="s">
        <v>462</v>
      </c>
      <c r="C535" s="3" t="str">
        <f>"青园街道"</f>
        <v>青园街道</v>
      </c>
      <c r="D535" s="3" t="str">
        <f>"井湾子社区"</f>
        <v>井湾子社区</v>
      </c>
      <c r="E535" s="3" t="str">
        <f t="shared" si="189"/>
        <v>140</v>
      </c>
      <c r="F535" s="3" t="str">
        <f t="shared" si="187"/>
        <v>100</v>
      </c>
      <c r="G535" s="3" t="str">
        <f t="shared" si="192"/>
        <v>二级</v>
      </c>
    </row>
    <row r="536" customHeight="1" spans="1:7">
      <c r="A536" s="3" t="str">
        <f>"1735"</f>
        <v>1735</v>
      </c>
      <c r="B536" s="3" t="s">
        <v>1254</v>
      </c>
      <c r="C536" s="3" t="str">
        <f>"大托铺街道"</f>
        <v>大托铺街道</v>
      </c>
      <c r="D536" s="3" t="str">
        <f>"新港村委会"</f>
        <v>新港村委会</v>
      </c>
      <c r="E536" s="3" t="str">
        <f t="shared" si="189"/>
        <v>140</v>
      </c>
      <c r="F536" s="3" t="str">
        <f t="shared" si="187"/>
        <v>100</v>
      </c>
      <c r="G536" s="3" t="str">
        <f t="shared" si="192"/>
        <v>二级</v>
      </c>
    </row>
    <row r="537" customHeight="1" spans="1:7">
      <c r="A537" s="3" t="str">
        <f>"1736"</f>
        <v>1736</v>
      </c>
      <c r="B537" s="3" t="s">
        <v>1255</v>
      </c>
      <c r="C537" s="3" t="str">
        <f>"裕南街街道"</f>
        <v>裕南街街道</v>
      </c>
      <c r="D537" s="3" t="str">
        <f>"南站社区"</f>
        <v>南站社区</v>
      </c>
      <c r="E537" s="3" t="str">
        <f t="shared" si="189"/>
        <v>140</v>
      </c>
      <c r="F537" s="3" t="str">
        <f t="shared" si="187"/>
        <v>100</v>
      </c>
      <c r="G537" s="3" t="str">
        <f t="shared" si="192"/>
        <v>二级</v>
      </c>
    </row>
    <row r="538" customHeight="1" spans="1:7">
      <c r="A538" s="3" t="str">
        <f>"1737"</f>
        <v>1737</v>
      </c>
      <c r="B538" s="3" t="s">
        <v>1256</v>
      </c>
      <c r="C538" s="3" t="str">
        <f>"城南路街道"</f>
        <v>城南路街道</v>
      </c>
      <c r="D538" s="3" t="str">
        <f>"吴家坪社区"</f>
        <v>吴家坪社区</v>
      </c>
      <c r="E538" s="3" t="str">
        <f t="shared" si="189"/>
        <v>140</v>
      </c>
      <c r="F538" s="3" t="str">
        <f t="shared" si="187"/>
        <v>100</v>
      </c>
      <c r="G538" s="3" t="str">
        <f t="shared" ref="G538:G542" si="194">"一级"</f>
        <v>一级</v>
      </c>
    </row>
    <row r="539" customHeight="1" spans="1:7">
      <c r="A539" s="3" t="str">
        <f>"1738"</f>
        <v>1738</v>
      </c>
      <c r="B539" s="3" t="s">
        <v>502</v>
      </c>
      <c r="C539" s="3" t="str">
        <f>"裕南街街道"</f>
        <v>裕南街街道</v>
      </c>
      <c r="D539" s="3" t="str">
        <f>"火把山社区"</f>
        <v>火把山社区</v>
      </c>
      <c r="E539" s="3" t="str">
        <f t="shared" si="189"/>
        <v>140</v>
      </c>
      <c r="F539" s="3" t="str">
        <f t="shared" si="187"/>
        <v>100</v>
      </c>
      <c r="G539" s="3" t="str">
        <f t="shared" si="194"/>
        <v>一级</v>
      </c>
    </row>
    <row r="540" customHeight="1" spans="1:7">
      <c r="A540" s="3" t="str">
        <f>"1739"</f>
        <v>1739</v>
      </c>
      <c r="B540" s="3" t="s">
        <v>1257</v>
      </c>
      <c r="C540" s="3" t="str">
        <f>"坡子街街道"</f>
        <v>坡子街街道</v>
      </c>
      <c r="D540" s="3" t="str">
        <f>"楚湘社区"</f>
        <v>楚湘社区</v>
      </c>
      <c r="E540" s="3" t="str">
        <f t="shared" si="189"/>
        <v>140</v>
      </c>
      <c r="F540" s="3" t="str">
        <f t="shared" si="187"/>
        <v>100</v>
      </c>
      <c r="G540" s="3" t="str">
        <f t="shared" si="194"/>
        <v>一级</v>
      </c>
    </row>
    <row r="541" customHeight="1" spans="1:7">
      <c r="A541" s="3" t="str">
        <f>"1740"</f>
        <v>1740</v>
      </c>
      <c r="B541" s="3" t="s">
        <v>1258</v>
      </c>
      <c r="C541" s="3" t="str">
        <f>"赤岭路街道"</f>
        <v>赤岭路街道</v>
      </c>
      <c r="D541" s="3" t="str">
        <f>"南大桥社区"</f>
        <v>南大桥社区</v>
      </c>
      <c r="E541" s="3" t="str">
        <f t="shared" si="189"/>
        <v>140</v>
      </c>
      <c r="F541" s="3" t="str">
        <f t="shared" si="187"/>
        <v>100</v>
      </c>
      <c r="G541" s="3" t="str">
        <f t="shared" si="194"/>
        <v>一级</v>
      </c>
    </row>
    <row r="542" customHeight="1" spans="1:7">
      <c r="A542" s="3" t="str">
        <f>"1741"</f>
        <v>1741</v>
      </c>
      <c r="B542" s="3" t="s">
        <v>516</v>
      </c>
      <c r="C542" s="3" t="str">
        <f>"大托铺街道"</f>
        <v>大托铺街道</v>
      </c>
      <c r="D542" s="3" t="str">
        <f>"桂井村委会"</f>
        <v>桂井村委会</v>
      </c>
      <c r="E542" s="3" t="str">
        <f t="shared" si="189"/>
        <v>140</v>
      </c>
      <c r="F542" s="3" t="str">
        <f t="shared" si="187"/>
        <v>100</v>
      </c>
      <c r="G542" s="3" t="str">
        <f t="shared" si="194"/>
        <v>一级</v>
      </c>
    </row>
    <row r="543" customHeight="1" spans="1:7">
      <c r="A543" s="3" t="str">
        <f>"1742"</f>
        <v>1742</v>
      </c>
      <c r="B543" s="3" t="s">
        <v>76</v>
      </c>
      <c r="C543" s="3" t="str">
        <f>"大托铺街道"</f>
        <v>大托铺街道</v>
      </c>
      <c r="D543" s="3" t="str">
        <f>"黄合村委会"</f>
        <v>黄合村委会</v>
      </c>
      <c r="E543" s="3" t="str">
        <f t="shared" si="189"/>
        <v>140</v>
      </c>
      <c r="F543" s="3" t="str">
        <f t="shared" si="187"/>
        <v>100</v>
      </c>
      <c r="G543" s="3" t="str">
        <f t="shared" ref="G543:G546" si="195">"二级"</f>
        <v>二级</v>
      </c>
    </row>
    <row r="544" customHeight="1" spans="1:7">
      <c r="A544" s="3" t="str">
        <f>"1743"</f>
        <v>1743</v>
      </c>
      <c r="B544" s="3" t="s">
        <v>146</v>
      </c>
      <c r="C544" s="3" t="str">
        <f>"桂花坪街道"</f>
        <v>桂花坪街道</v>
      </c>
      <c r="D544" s="3" t="str">
        <f>"金桂社区"</f>
        <v>金桂社区</v>
      </c>
      <c r="E544" s="3" t="str">
        <f t="shared" si="189"/>
        <v>140</v>
      </c>
      <c r="F544" s="3" t="str">
        <f t="shared" si="187"/>
        <v>100</v>
      </c>
      <c r="G544" s="3" t="str">
        <f t="shared" si="195"/>
        <v>二级</v>
      </c>
    </row>
    <row r="545" customHeight="1" spans="1:7">
      <c r="A545" s="3" t="str">
        <f>"1744"</f>
        <v>1744</v>
      </c>
      <c r="B545" s="3" t="s">
        <v>32</v>
      </c>
      <c r="C545" s="3" t="str">
        <f>"城南路街道"</f>
        <v>城南路街道</v>
      </c>
      <c r="D545" s="3" t="str">
        <f>"工农桥社区"</f>
        <v>工农桥社区</v>
      </c>
      <c r="E545" s="3" t="str">
        <f t="shared" si="189"/>
        <v>140</v>
      </c>
      <c r="F545" s="3" t="str">
        <f t="shared" si="187"/>
        <v>100</v>
      </c>
      <c r="G545" s="3" t="str">
        <f t="shared" si="195"/>
        <v>二级</v>
      </c>
    </row>
    <row r="546" customHeight="1" spans="1:7">
      <c r="A546" s="3" t="str">
        <f>"1745"</f>
        <v>1745</v>
      </c>
      <c r="B546" s="3" t="s">
        <v>915</v>
      </c>
      <c r="C546" s="3" t="str">
        <f t="shared" ref="C546:C549" si="196">"坡子街街道"</f>
        <v>坡子街街道</v>
      </c>
      <c r="D546" s="3" t="str">
        <f>"坡子街社区"</f>
        <v>坡子街社区</v>
      </c>
      <c r="E546" s="3" t="str">
        <f t="shared" si="189"/>
        <v>140</v>
      </c>
      <c r="F546" s="3" t="str">
        <f t="shared" si="187"/>
        <v>100</v>
      </c>
      <c r="G546" s="3" t="str">
        <f t="shared" si="195"/>
        <v>二级</v>
      </c>
    </row>
    <row r="547" customHeight="1" spans="1:7">
      <c r="A547" s="3" t="str">
        <f>"1746"</f>
        <v>1746</v>
      </c>
      <c r="B547" s="3" t="s">
        <v>670</v>
      </c>
      <c r="C547" s="3" t="str">
        <f t="shared" si="196"/>
        <v>坡子街街道</v>
      </c>
      <c r="D547" s="3" t="str">
        <f>"碧湘社区"</f>
        <v>碧湘社区</v>
      </c>
      <c r="E547" s="3" t="str">
        <f t="shared" si="189"/>
        <v>140</v>
      </c>
      <c r="F547" s="3" t="str">
        <f t="shared" si="187"/>
        <v>100</v>
      </c>
      <c r="G547" s="3" t="str">
        <f t="shared" ref="G547:G549" si="197">"一级"</f>
        <v>一级</v>
      </c>
    </row>
    <row r="548" customHeight="1" spans="1:7">
      <c r="A548" s="3" t="str">
        <f>"1747"</f>
        <v>1747</v>
      </c>
      <c r="B548" s="3" t="s">
        <v>1259</v>
      </c>
      <c r="C548" s="3" t="str">
        <f t="shared" si="196"/>
        <v>坡子街街道</v>
      </c>
      <c r="D548" s="3" t="str">
        <f>"登仁桥社区"</f>
        <v>登仁桥社区</v>
      </c>
      <c r="E548" s="3" t="str">
        <f t="shared" si="189"/>
        <v>140</v>
      </c>
      <c r="F548" s="3" t="str">
        <f t="shared" si="187"/>
        <v>100</v>
      </c>
      <c r="G548" s="3" t="str">
        <f t="shared" si="197"/>
        <v>一级</v>
      </c>
    </row>
    <row r="549" customHeight="1" spans="1:7">
      <c r="A549" s="3" t="str">
        <f>"1748"</f>
        <v>1748</v>
      </c>
      <c r="B549" s="3" t="s">
        <v>1260</v>
      </c>
      <c r="C549" s="3" t="str">
        <f t="shared" si="196"/>
        <v>坡子街街道</v>
      </c>
      <c r="D549" s="3" t="str">
        <f>"坡子街社区"</f>
        <v>坡子街社区</v>
      </c>
      <c r="E549" s="3" t="str">
        <f t="shared" si="189"/>
        <v>140</v>
      </c>
      <c r="F549" s="3" t="str">
        <f t="shared" si="187"/>
        <v>100</v>
      </c>
      <c r="G549" s="3" t="str">
        <f t="shared" si="197"/>
        <v>一级</v>
      </c>
    </row>
    <row r="550" customHeight="1" spans="1:7">
      <c r="A550" s="3" t="str">
        <f>"1749"</f>
        <v>1749</v>
      </c>
      <c r="B550" s="3" t="s">
        <v>1261</v>
      </c>
      <c r="C550" s="3" t="str">
        <f>"桂花坪街道"</f>
        <v>桂花坪街道</v>
      </c>
      <c r="D550" s="3" t="str">
        <f>"桂庄社区"</f>
        <v>桂庄社区</v>
      </c>
      <c r="E550" s="3" t="str">
        <f t="shared" si="189"/>
        <v>140</v>
      </c>
      <c r="F550" s="3" t="str">
        <f t="shared" si="187"/>
        <v>100</v>
      </c>
      <c r="G550" s="3" t="str">
        <f t="shared" ref="G550:G556" si="198">"二级"</f>
        <v>二级</v>
      </c>
    </row>
    <row r="551" customHeight="1" spans="1:7">
      <c r="A551" s="3" t="str">
        <f>"1750"</f>
        <v>1750</v>
      </c>
      <c r="B551" s="3" t="s">
        <v>1262</v>
      </c>
      <c r="C551" s="3" t="str">
        <f>"南托街道"</f>
        <v>南托街道</v>
      </c>
      <c r="D551" s="3" t="str">
        <f>"牛角塘村"</f>
        <v>牛角塘村</v>
      </c>
      <c r="E551" s="3" t="str">
        <f t="shared" si="189"/>
        <v>140</v>
      </c>
      <c r="F551" s="3" t="str">
        <f t="shared" si="187"/>
        <v>100</v>
      </c>
      <c r="G551" s="3" t="str">
        <f>"一级"</f>
        <v>一级</v>
      </c>
    </row>
    <row r="552" customHeight="1" spans="1:7">
      <c r="A552" s="3" t="str">
        <f>"1751"</f>
        <v>1751</v>
      </c>
      <c r="B552" s="3" t="s">
        <v>1263</v>
      </c>
      <c r="C552" s="3" t="str">
        <f>"裕南街街道"</f>
        <v>裕南街街道</v>
      </c>
      <c r="D552" s="3" t="str">
        <f>"宝塔山社区"</f>
        <v>宝塔山社区</v>
      </c>
      <c r="E552" s="3" t="str">
        <f t="shared" si="189"/>
        <v>140</v>
      </c>
      <c r="F552" s="3" t="str">
        <f t="shared" si="187"/>
        <v>100</v>
      </c>
      <c r="G552" s="3" t="str">
        <f>"一级"</f>
        <v>一级</v>
      </c>
    </row>
    <row r="553" customHeight="1" spans="1:7">
      <c r="A553" s="3" t="str">
        <f>"1752"</f>
        <v>1752</v>
      </c>
      <c r="B553" s="3" t="s">
        <v>1264</v>
      </c>
      <c r="C553" s="3" t="str">
        <f t="shared" ref="C553:C555" si="199">"坡子街街道"</f>
        <v>坡子街街道</v>
      </c>
      <c r="D553" s="3" t="str">
        <f>"文庙坪社区"</f>
        <v>文庙坪社区</v>
      </c>
      <c r="E553" s="3" t="str">
        <f t="shared" si="189"/>
        <v>140</v>
      </c>
      <c r="F553" s="3" t="str">
        <f t="shared" si="187"/>
        <v>100</v>
      </c>
      <c r="G553" s="3" t="str">
        <f t="shared" si="198"/>
        <v>二级</v>
      </c>
    </row>
    <row r="554" customHeight="1" spans="1:7">
      <c r="A554" s="3" t="str">
        <f>"1753"</f>
        <v>1753</v>
      </c>
      <c r="B554" s="3" t="s">
        <v>1265</v>
      </c>
      <c r="C554" s="3" t="str">
        <f t="shared" si="199"/>
        <v>坡子街街道</v>
      </c>
      <c r="D554" s="3" t="str">
        <f>"登仁桥社区"</f>
        <v>登仁桥社区</v>
      </c>
      <c r="E554" s="3" t="str">
        <f t="shared" si="189"/>
        <v>140</v>
      </c>
      <c r="F554" s="3" t="str">
        <f t="shared" si="187"/>
        <v>100</v>
      </c>
      <c r="G554" s="3" t="str">
        <f t="shared" si="198"/>
        <v>二级</v>
      </c>
    </row>
    <row r="555" customHeight="1" spans="1:7">
      <c r="A555" s="3" t="str">
        <f>"1754"</f>
        <v>1754</v>
      </c>
      <c r="B555" s="3" t="s">
        <v>1266</v>
      </c>
      <c r="C555" s="3" t="str">
        <f t="shared" si="199"/>
        <v>坡子街街道</v>
      </c>
      <c r="D555" s="3" t="str">
        <f t="shared" ref="D555:D560" si="200">"文庙坪社区"</f>
        <v>文庙坪社区</v>
      </c>
      <c r="E555" s="3" t="str">
        <f t="shared" si="189"/>
        <v>140</v>
      </c>
      <c r="F555" s="3" t="str">
        <f t="shared" si="187"/>
        <v>100</v>
      </c>
      <c r="G555" s="3" t="str">
        <f t="shared" si="198"/>
        <v>二级</v>
      </c>
    </row>
    <row r="556" customHeight="1" spans="1:7">
      <c r="A556" s="3" t="str">
        <f>"1755"</f>
        <v>1755</v>
      </c>
      <c r="B556" s="3" t="s">
        <v>1267</v>
      </c>
      <c r="C556" s="3" t="str">
        <f>"赤岭路街道"</f>
        <v>赤岭路街道</v>
      </c>
      <c r="D556" s="3" t="str">
        <f>"新丰社区"</f>
        <v>新丰社区</v>
      </c>
      <c r="E556" s="3" t="str">
        <f t="shared" si="189"/>
        <v>140</v>
      </c>
      <c r="F556" s="3" t="str">
        <f t="shared" si="187"/>
        <v>100</v>
      </c>
      <c r="G556" s="3" t="str">
        <f t="shared" si="198"/>
        <v>二级</v>
      </c>
    </row>
    <row r="557" customHeight="1" spans="1:7">
      <c r="A557" s="3" t="str">
        <f>"1756"</f>
        <v>1756</v>
      </c>
      <c r="B557" s="3" t="s">
        <v>654</v>
      </c>
      <c r="C557" s="3" t="str">
        <f t="shared" ref="C557:C561" si="201">"坡子街街道"</f>
        <v>坡子街街道</v>
      </c>
      <c r="D557" s="3" t="str">
        <f>"坡子街社区"</f>
        <v>坡子街社区</v>
      </c>
      <c r="E557" s="3" t="str">
        <f t="shared" si="189"/>
        <v>140</v>
      </c>
      <c r="F557" s="3" t="str">
        <f t="shared" si="187"/>
        <v>100</v>
      </c>
      <c r="G557" s="3" t="str">
        <f t="shared" ref="G557:G564" si="202">"一级"</f>
        <v>一级</v>
      </c>
    </row>
    <row r="558" customHeight="1" spans="1:7">
      <c r="A558" s="3" t="str">
        <f>"1757"</f>
        <v>1757</v>
      </c>
      <c r="B558" s="3" t="s">
        <v>1268</v>
      </c>
      <c r="C558" s="3" t="str">
        <f t="shared" si="201"/>
        <v>坡子街街道</v>
      </c>
      <c r="D558" s="3" t="str">
        <f>"八角亭社区"</f>
        <v>八角亭社区</v>
      </c>
      <c r="E558" s="3" t="str">
        <f t="shared" si="189"/>
        <v>140</v>
      </c>
      <c r="F558" s="3" t="str">
        <f t="shared" si="187"/>
        <v>100</v>
      </c>
      <c r="G558" s="3" t="str">
        <f t="shared" ref="G558:G560" si="203">"二级"</f>
        <v>二级</v>
      </c>
    </row>
    <row r="559" customHeight="1" spans="1:7">
      <c r="A559" s="3" t="str">
        <f>"1758"</f>
        <v>1758</v>
      </c>
      <c r="B559" s="3" t="s">
        <v>1269</v>
      </c>
      <c r="C559" s="3" t="str">
        <f t="shared" si="201"/>
        <v>坡子街街道</v>
      </c>
      <c r="D559" s="3" t="str">
        <f t="shared" si="200"/>
        <v>文庙坪社区</v>
      </c>
      <c r="E559" s="3" t="str">
        <f t="shared" si="189"/>
        <v>140</v>
      </c>
      <c r="F559" s="3" t="str">
        <f t="shared" si="187"/>
        <v>100</v>
      </c>
      <c r="G559" s="3" t="str">
        <f t="shared" si="203"/>
        <v>二级</v>
      </c>
    </row>
    <row r="560" customHeight="1" spans="1:7">
      <c r="A560" s="3" t="str">
        <f>"1759"</f>
        <v>1759</v>
      </c>
      <c r="B560" s="3" t="s">
        <v>845</v>
      </c>
      <c r="C560" s="3" t="str">
        <f t="shared" si="201"/>
        <v>坡子街街道</v>
      </c>
      <c r="D560" s="3" t="str">
        <f t="shared" si="200"/>
        <v>文庙坪社区</v>
      </c>
      <c r="E560" s="3" t="str">
        <f t="shared" si="189"/>
        <v>140</v>
      </c>
      <c r="F560" s="3" t="str">
        <f t="shared" si="187"/>
        <v>100</v>
      </c>
      <c r="G560" s="3" t="str">
        <f t="shared" si="203"/>
        <v>二级</v>
      </c>
    </row>
    <row r="561" customHeight="1" spans="1:7">
      <c r="A561" s="3" t="str">
        <f>"1760"</f>
        <v>1760</v>
      </c>
      <c r="B561" s="3" t="s">
        <v>1270</v>
      </c>
      <c r="C561" s="3" t="str">
        <f t="shared" si="201"/>
        <v>坡子街街道</v>
      </c>
      <c r="D561" s="3" t="str">
        <f>"八角亭社区"</f>
        <v>八角亭社区</v>
      </c>
      <c r="E561" s="3" t="str">
        <f t="shared" si="189"/>
        <v>140</v>
      </c>
      <c r="F561" s="3" t="str">
        <f t="shared" si="187"/>
        <v>100</v>
      </c>
      <c r="G561" s="3" t="str">
        <f t="shared" si="202"/>
        <v>一级</v>
      </c>
    </row>
    <row r="562" customHeight="1" spans="1:7">
      <c r="A562" s="3" t="str">
        <f>"1761"</f>
        <v>1761</v>
      </c>
      <c r="B562" s="3" t="s">
        <v>1271</v>
      </c>
      <c r="C562" s="3" t="str">
        <f>"赤岭路街道"</f>
        <v>赤岭路街道</v>
      </c>
      <c r="D562" s="3" t="str">
        <f>"南大桥社区"</f>
        <v>南大桥社区</v>
      </c>
      <c r="E562" s="3" t="str">
        <f t="shared" si="189"/>
        <v>140</v>
      </c>
      <c r="F562" s="3" t="str">
        <f t="shared" si="187"/>
        <v>100</v>
      </c>
      <c r="G562" s="3" t="str">
        <f t="shared" si="202"/>
        <v>一级</v>
      </c>
    </row>
    <row r="563" customHeight="1" spans="1:7">
      <c r="A563" s="3" t="str">
        <f>"1762"</f>
        <v>1762</v>
      </c>
      <c r="B563" s="3" t="s">
        <v>1272</v>
      </c>
      <c r="C563" s="3" t="str">
        <f>"坡子街街道"</f>
        <v>坡子街街道</v>
      </c>
      <c r="D563" s="3" t="str">
        <f>"西牌楼社区"</f>
        <v>西牌楼社区</v>
      </c>
      <c r="E563" s="3" t="str">
        <f t="shared" si="189"/>
        <v>140</v>
      </c>
      <c r="F563" s="3" t="str">
        <f t="shared" si="187"/>
        <v>100</v>
      </c>
      <c r="G563" s="3" t="str">
        <f t="shared" si="202"/>
        <v>一级</v>
      </c>
    </row>
    <row r="564" customHeight="1" spans="1:7">
      <c r="A564" s="3" t="str">
        <f>"1763"</f>
        <v>1763</v>
      </c>
      <c r="B564" s="3" t="s">
        <v>139</v>
      </c>
      <c r="C564" s="3" t="str">
        <f>"城南路街道"</f>
        <v>城南路街道</v>
      </c>
      <c r="D564" s="3" t="str">
        <f>"熙台岭社区"</f>
        <v>熙台岭社区</v>
      </c>
      <c r="E564" s="3" t="str">
        <f t="shared" si="189"/>
        <v>140</v>
      </c>
      <c r="F564" s="3" t="str">
        <f t="shared" si="187"/>
        <v>100</v>
      </c>
      <c r="G564" s="3" t="str">
        <f t="shared" si="202"/>
        <v>一级</v>
      </c>
    </row>
    <row r="565" customHeight="1" spans="1:7">
      <c r="A565" s="3" t="str">
        <f>"1764"</f>
        <v>1764</v>
      </c>
      <c r="B565" s="3" t="s">
        <v>485</v>
      </c>
      <c r="C565" s="3" t="str">
        <f>"金盆岭街道"</f>
        <v>金盆岭街道</v>
      </c>
      <c r="D565" s="3" t="str">
        <f>"夏家冲社区"</f>
        <v>夏家冲社区</v>
      </c>
      <c r="E565" s="3" t="str">
        <f t="shared" si="189"/>
        <v>140</v>
      </c>
      <c r="F565" s="3" t="str">
        <f t="shared" si="187"/>
        <v>100</v>
      </c>
      <c r="G565" s="3" t="str">
        <f t="shared" ref="G565:G569" si="204">"二级"</f>
        <v>二级</v>
      </c>
    </row>
    <row r="566" customHeight="1" spans="1:7">
      <c r="A566" s="3" t="str">
        <f>"1765"</f>
        <v>1765</v>
      </c>
      <c r="B566" s="3" t="s">
        <v>70</v>
      </c>
      <c r="C566" s="3" t="str">
        <f>"裕南街街道"</f>
        <v>裕南街街道</v>
      </c>
      <c r="D566" s="3" t="str">
        <f>"东瓜山社区"</f>
        <v>东瓜山社区</v>
      </c>
      <c r="E566" s="3" t="str">
        <f t="shared" si="189"/>
        <v>140</v>
      </c>
      <c r="F566" s="3" t="str">
        <f t="shared" si="187"/>
        <v>100</v>
      </c>
      <c r="G566" s="3" t="str">
        <f t="shared" si="204"/>
        <v>二级</v>
      </c>
    </row>
    <row r="567" customHeight="1" spans="1:7">
      <c r="A567" s="3" t="str">
        <f>"1766"</f>
        <v>1766</v>
      </c>
      <c r="B567" s="3" t="s">
        <v>1273</v>
      </c>
      <c r="C567" s="3" t="str">
        <f>"黑石铺街道"</f>
        <v>黑石铺街道</v>
      </c>
      <c r="D567" s="3" t="str">
        <f>"披塘村委会"</f>
        <v>披塘村委会</v>
      </c>
      <c r="E567" s="3" t="str">
        <f t="shared" si="189"/>
        <v>140</v>
      </c>
      <c r="F567" s="3" t="str">
        <f t="shared" si="187"/>
        <v>100</v>
      </c>
      <c r="G567" s="3" t="str">
        <f t="shared" si="204"/>
        <v>二级</v>
      </c>
    </row>
    <row r="568" customHeight="1" spans="1:7">
      <c r="A568" s="3" t="str">
        <f>"1767"</f>
        <v>1767</v>
      </c>
      <c r="B568" s="3" t="s">
        <v>1274</v>
      </c>
      <c r="C568" s="3" t="str">
        <f>"赤岭路街道"</f>
        <v>赤岭路街道</v>
      </c>
      <c r="D568" s="3" t="str">
        <f>"南大桥社区"</f>
        <v>南大桥社区</v>
      </c>
      <c r="E568" s="3" t="str">
        <f t="shared" si="189"/>
        <v>140</v>
      </c>
      <c r="F568" s="3" t="str">
        <f t="shared" si="187"/>
        <v>100</v>
      </c>
      <c r="G568" s="3" t="str">
        <f t="shared" si="204"/>
        <v>二级</v>
      </c>
    </row>
    <row r="569" customHeight="1" spans="1:7">
      <c r="A569" s="3" t="str">
        <f>"1768"</f>
        <v>1768</v>
      </c>
      <c r="B569" s="3" t="s">
        <v>32</v>
      </c>
      <c r="C569" s="3" t="str">
        <f>"裕南街街道"</f>
        <v>裕南街街道</v>
      </c>
      <c r="D569" s="3" t="str">
        <f>"火把山社区"</f>
        <v>火把山社区</v>
      </c>
      <c r="E569" s="3" t="str">
        <f t="shared" si="189"/>
        <v>140</v>
      </c>
      <c r="F569" s="3" t="str">
        <f t="shared" si="187"/>
        <v>100</v>
      </c>
      <c r="G569" s="3" t="str">
        <f t="shared" si="204"/>
        <v>二级</v>
      </c>
    </row>
    <row r="570" customHeight="1" spans="1:7">
      <c r="A570" s="3" t="str">
        <f>"1769"</f>
        <v>1769</v>
      </c>
      <c r="B570" s="3" t="s">
        <v>1275</v>
      </c>
      <c r="C570" s="3" t="str">
        <f>"城南路街道"</f>
        <v>城南路街道</v>
      </c>
      <c r="D570" s="3" t="str">
        <f>"古道巷社区"</f>
        <v>古道巷社区</v>
      </c>
      <c r="E570" s="3" t="str">
        <f t="shared" si="189"/>
        <v>140</v>
      </c>
      <c r="F570" s="3" t="str">
        <f t="shared" si="187"/>
        <v>100</v>
      </c>
      <c r="G570" s="3" t="str">
        <f>"一级"</f>
        <v>一级</v>
      </c>
    </row>
    <row r="571" customHeight="1" spans="1:7">
      <c r="A571" s="3" t="str">
        <f>"1770"</f>
        <v>1770</v>
      </c>
      <c r="B571" s="3" t="s">
        <v>68</v>
      </c>
      <c r="C571" s="3" t="str">
        <f>"赤岭路街道"</f>
        <v>赤岭路街道</v>
      </c>
      <c r="D571" s="3" t="str">
        <f>"新丰社区"</f>
        <v>新丰社区</v>
      </c>
      <c r="E571" s="3" t="str">
        <f t="shared" si="189"/>
        <v>140</v>
      </c>
      <c r="F571" s="3" t="str">
        <f t="shared" si="187"/>
        <v>100</v>
      </c>
      <c r="G571" s="3" t="str">
        <f t="shared" ref="G571:G573" si="205">"二级"</f>
        <v>二级</v>
      </c>
    </row>
    <row r="572" customHeight="1" spans="1:7">
      <c r="A572" s="3" t="str">
        <f>"1771"</f>
        <v>1771</v>
      </c>
      <c r="B572" s="3" t="s">
        <v>126</v>
      </c>
      <c r="C572" s="3" t="str">
        <f>"金盆岭街道"</f>
        <v>金盆岭街道</v>
      </c>
      <c r="D572" s="3" t="str">
        <f>"涂新社区"</f>
        <v>涂新社区</v>
      </c>
      <c r="E572" s="3" t="str">
        <f t="shared" si="189"/>
        <v>140</v>
      </c>
      <c r="F572" s="3" t="str">
        <f t="shared" si="187"/>
        <v>100</v>
      </c>
      <c r="G572" s="3" t="str">
        <f t="shared" si="205"/>
        <v>二级</v>
      </c>
    </row>
    <row r="573" customHeight="1" spans="1:7">
      <c r="A573" s="3" t="str">
        <f>"1772"</f>
        <v>1772</v>
      </c>
      <c r="B573" s="3" t="s">
        <v>1276</v>
      </c>
      <c r="C573" s="3" t="str">
        <f>"坡子街街道"</f>
        <v>坡子街街道</v>
      </c>
      <c r="D573" s="3" t="str">
        <f>"楚湘社区"</f>
        <v>楚湘社区</v>
      </c>
      <c r="E573" s="3" t="str">
        <f t="shared" si="189"/>
        <v>140</v>
      </c>
      <c r="F573" s="3" t="str">
        <f t="shared" si="187"/>
        <v>100</v>
      </c>
      <c r="G573" s="3" t="str">
        <f t="shared" si="205"/>
        <v>二级</v>
      </c>
    </row>
    <row r="574" customHeight="1" spans="1:7">
      <c r="A574" s="3" t="str">
        <f>"1773"</f>
        <v>1773</v>
      </c>
      <c r="B574" s="3" t="s">
        <v>1277</v>
      </c>
      <c r="C574" s="3" t="str">
        <f>"新开铺街道"</f>
        <v>新开铺街道</v>
      </c>
      <c r="D574" s="3" t="str">
        <f>"新天村委会"</f>
        <v>新天村委会</v>
      </c>
      <c r="E574" s="3" t="str">
        <f t="shared" si="189"/>
        <v>140</v>
      </c>
      <c r="F574" s="3" t="str">
        <f t="shared" si="187"/>
        <v>100</v>
      </c>
      <c r="G574" s="3" t="str">
        <f>"一级"</f>
        <v>一级</v>
      </c>
    </row>
    <row r="575" customHeight="1" spans="1:7">
      <c r="A575" s="3" t="str">
        <f>"1774"</f>
        <v>1774</v>
      </c>
      <c r="B575" s="3" t="s">
        <v>1278</v>
      </c>
      <c r="C575" s="3" t="str">
        <f>"金盆岭街道"</f>
        <v>金盆岭街道</v>
      </c>
      <c r="D575" s="3" t="str">
        <f>"涂新社区"</f>
        <v>涂新社区</v>
      </c>
      <c r="E575" s="3" t="str">
        <f t="shared" si="189"/>
        <v>140</v>
      </c>
      <c r="F575" s="3" t="str">
        <f t="shared" ref="F575:F638" si="206">"100"</f>
        <v>100</v>
      </c>
      <c r="G575" s="3" t="str">
        <f t="shared" ref="G575:G580" si="207">"二级"</f>
        <v>二级</v>
      </c>
    </row>
    <row r="576" customHeight="1" spans="1:7">
      <c r="A576" s="3" t="str">
        <f>"1775"</f>
        <v>1775</v>
      </c>
      <c r="B576" s="3" t="s">
        <v>132</v>
      </c>
      <c r="C576" s="3" t="str">
        <f t="shared" ref="C576:C580" si="208">"裕南街街道"</f>
        <v>裕南街街道</v>
      </c>
      <c r="D576" s="3" t="str">
        <f>"东瓜山社区"</f>
        <v>东瓜山社区</v>
      </c>
      <c r="E576" s="3" t="str">
        <f t="shared" si="189"/>
        <v>140</v>
      </c>
      <c r="F576" s="3" t="str">
        <f t="shared" si="206"/>
        <v>100</v>
      </c>
      <c r="G576" s="3" t="str">
        <f t="shared" si="207"/>
        <v>二级</v>
      </c>
    </row>
    <row r="577" customHeight="1" spans="1:7">
      <c r="A577" s="3" t="str">
        <f>"1776"</f>
        <v>1776</v>
      </c>
      <c r="B577" s="3" t="s">
        <v>1279</v>
      </c>
      <c r="C577" s="3" t="str">
        <f>"赤岭路街道"</f>
        <v>赤岭路街道</v>
      </c>
      <c r="D577" s="3" t="str">
        <f>"新丰社区"</f>
        <v>新丰社区</v>
      </c>
      <c r="E577" s="3" t="str">
        <f t="shared" si="189"/>
        <v>140</v>
      </c>
      <c r="F577" s="3" t="str">
        <f t="shared" si="206"/>
        <v>100</v>
      </c>
      <c r="G577" s="3" t="str">
        <f t="shared" si="207"/>
        <v>二级</v>
      </c>
    </row>
    <row r="578" customHeight="1" spans="1:7">
      <c r="A578" s="3" t="str">
        <f>"1777"</f>
        <v>1777</v>
      </c>
      <c r="B578" s="3" t="s">
        <v>76</v>
      </c>
      <c r="C578" s="3" t="str">
        <f>"坡子街街道"</f>
        <v>坡子街街道</v>
      </c>
      <c r="D578" s="3" t="str">
        <f>"文庙坪社区"</f>
        <v>文庙坪社区</v>
      </c>
      <c r="E578" s="3" t="str">
        <f t="shared" ref="E578:E641" si="209">"140"</f>
        <v>140</v>
      </c>
      <c r="F578" s="3" t="str">
        <f t="shared" si="206"/>
        <v>100</v>
      </c>
      <c r="G578" s="3" t="str">
        <f t="shared" si="207"/>
        <v>二级</v>
      </c>
    </row>
    <row r="579" customHeight="1" spans="1:7">
      <c r="A579" s="3" t="str">
        <f>"1778"</f>
        <v>1778</v>
      </c>
      <c r="B579" s="3" t="s">
        <v>1280</v>
      </c>
      <c r="C579" s="3" t="str">
        <f t="shared" si="208"/>
        <v>裕南街街道</v>
      </c>
      <c r="D579" s="3" t="str">
        <f>"裕南街社区"</f>
        <v>裕南街社区</v>
      </c>
      <c r="E579" s="3" t="str">
        <f t="shared" si="209"/>
        <v>140</v>
      </c>
      <c r="F579" s="3" t="str">
        <f t="shared" si="206"/>
        <v>100</v>
      </c>
      <c r="G579" s="3" t="str">
        <f t="shared" si="207"/>
        <v>二级</v>
      </c>
    </row>
    <row r="580" customHeight="1" spans="1:7">
      <c r="A580" s="3" t="str">
        <f>"1779"</f>
        <v>1779</v>
      </c>
      <c r="B580" s="3" t="s">
        <v>1281</v>
      </c>
      <c r="C580" s="3" t="str">
        <f t="shared" si="208"/>
        <v>裕南街街道</v>
      </c>
      <c r="D580" s="3" t="str">
        <f>"仰天湖社区"</f>
        <v>仰天湖社区</v>
      </c>
      <c r="E580" s="3" t="str">
        <f t="shared" si="209"/>
        <v>140</v>
      </c>
      <c r="F580" s="3" t="str">
        <f t="shared" si="206"/>
        <v>100</v>
      </c>
      <c r="G580" s="3" t="str">
        <f t="shared" si="207"/>
        <v>二级</v>
      </c>
    </row>
    <row r="581" customHeight="1" spans="1:7">
      <c r="A581" s="3" t="str">
        <f>"1780"</f>
        <v>1780</v>
      </c>
      <c r="B581" s="3" t="s">
        <v>68</v>
      </c>
      <c r="C581" s="3" t="str">
        <f>"青园街道"</f>
        <v>青园街道</v>
      </c>
      <c r="D581" s="3" t="str">
        <f>"友谊社区"</f>
        <v>友谊社区</v>
      </c>
      <c r="E581" s="3" t="str">
        <f t="shared" si="209"/>
        <v>140</v>
      </c>
      <c r="F581" s="3" t="str">
        <f t="shared" si="206"/>
        <v>100</v>
      </c>
      <c r="G581" s="3" t="str">
        <f>"一级"</f>
        <v>一级</v>
      </c>
    </row>
    <row r="582" customHeight="1" spans="1:7">
      <c r="A582" s="3" t="str">
        <f>"1781"</f>
        <v>1781</v>
      </c>
      <c r="B582" s="3" t="s">
        <v>70</v>
      </c>
      <c r="C582" s="3" t="str">
        <f>"青园街道"</f>
        <v>青园街道</v>
      </c>
      <c r="D582" s="3" t="str">
        <f>"井湾子社区"</f>
        <v>井湾子社区</v>
      </c>
      <c r="E582" s="3" t="str">
        <f t="shared" si="209"/>
        <v>140</v>
      </c>
      <c r="F582" s="3" t="str">
        <f t="shared" si="206"/>
        <v>100</v>
      </c>
      <c r="G582" s="3" t="str">
        <f t="shared" ref="G582:G584" si="210">"二级"</f>
        <v>二级</v>
      </c>
    </row>
    <row r="583" customHeight="1" spans="1:7">
      <c r="A583" s="3" t="str">
        <f>"1782"</f>
        <v>1782</v>
      </c>
      <c r="B583" s="3" t="s">
        <v>32</v>
      </c>
      <c r="C583" s="3" t="str">
        <f>"金盆岭街道"</f>
        <v>金盆岭街道</v>
      </c>
      <c r="D583" s="3" t="str">
        <f>"天剑社区"</f>
        <v>天剑社区</v>
      </c>
      <c r="E583" s="3" t="str">
        <f t="shared" si="209"/>
        <v>140</v>
      </c>
      <c r="F583" s="3" t="str">
        <f t="shared" si="206"/>
        <v>100</v>
      </c>
      <c r="G583" s="3" t="str">
        <f t="shared" si="210"/>
        <v>二级</v>
      </c>
    </row>
    <row r="584" customHeight="1" spans="1:7">
      <c r="A584" s="3" t="str">
        <f>"1783"</f>
        <v>1783</v>
      </c>
      <c r="B584" s="3" t="s">
        <v>72</v>
      </c>
      <c r="C584" s="3" t="str">
        <f>"赤岭路街道"</f>
        <v>赤岭路街道</v>
      </c>
      <c r="D584" s="3" t="str">
        <f>"芙蓉南路社区"</f>
        <v>芙蓉南路社区</v>
      </c>
      <c r="E584" s="3" t="str">
        <f t="shared" si="209"/>
        <v>140</v>
      </c>
      <c r="F584" s="3" t="str">
        <f t="shared" si="206"/>
        <v>100</v>
      </c>
      <c r="G584" s="3" t="str">
        <f t="shared" si="210"/>
        <v>二级</v>
      </c>
    </row>
    <row r="585" customHeight="1" spans="1:7">
      <c r="A585" s="3" t="str">
        <f>"1784"</f>
        <v>1784</v>
      </c>
      <c r="B585" s="3" t="s">
        <v>1282</v>
      </c>
      <c r="C585" s="3" t="str">
        <f t="shared" ref="C585:C587" si="211">"暮云街道"</f>
        <v>暮云街道</v>
      </c>
      <c r="D585" s="3" t="str">
        <f>"许兴村"</f>
        <v>许兴村</v>
      </c>
      <c r="E585" s="3" t="str">
        <f t="shared" si="209"/>
        <v>140</v>
      </c>
      <c r="F585" s="3" t="str">
        <f t="shared" si="206"/>
        <v>100</v>
      </c>
      <c r="G585" s="3" t="str">
        <f t="shared" ref="G585:G590" si="212">"一级"</f>
        <v>一级</v>
      </c>
    </row>
    <row r="586" customHeight="1" spans="1:7">
      <c r="A586" s="3" t="str">
        <f>"1785"</f>
        <v>1785</v>
      </c>
      <c r="B586" s="3" t="s">
        <v>826</v>
      </c>
      <c r="C586" s="3" t="str">
        <f t="shared" si="211"/>
        <v>暮云街道</v>
      </c>
      <c r="D586" s="3" t="str">
        <f>"莲华村"</f>
        <v>莲华村</v>
      </c>
      <c r="E586" s="3" t="str">
        <f t="shared" si="209"/>
        <v>140</v>
      </c>
      <c r="F586" s="3" t="str">
        <f t="shared" si="206"/>
        <v>100</v>
      </c>
      <c r="G586" s="3" t="str">
        <f t="shared" ref="G586:G591" si="213">"二级"</f>
        <v>二级</v>
      </c>
    </row>
    <row r="587" customHeight="1" spans="1:7">
      <c r="A587" s="3" t="str">
        <f>"1786"</f>
        <v>1786</v>
      </c>
      <c r="B587" s="3" t="s">
        <v>68</v>
      </c>
      <c r="C587" s="3" t="str">
        <f t="shared" si="211"/>
        <v>暮云街道</v>
      </c>
      <c r="D587" s="3" t="str">
        <f>"莲华村"</f>
        <v>莲华村</v>
      </c>
      <c r="E587" s="3" t="str">
        <f t="shared" si="209"/>
        <v>140</v>
      </c>
      <c r="F587" s="3" t="str">
        <f t="shared" si="206"/>
        <v>100</v>
      </c>
      <c r="G587" s="3" t="str">
        <f t="shared" si="213"/>
        <v>二级</v>
      </c>
    </row>
    <row r="588" customHeight="1" spans="1:7">
      <c r="A588" s="3" t="str">
        <f>"1787"</f>
        <v>1787</v>
      </c>
      <c r="B588" s="3" t="s">
        <v>1283</v>
      </c>
      <c r="C588" s="3" t="str">
        <f t="shared" ref="C588:C592" si="214">"南托街道"</f>
        <v>南托街道</v>
      </c>
      <c r="D588" s="3" t="str">
        <f>"沿江村"</f>
        <v>沿江村</v>
      </c>
      <c r="E588" s="3" t="str">
        <f t="shared" si="209"/>
        <v>140</v>
      </c>
      <c r="F588" s="3" t="str">
        <f t="shared" si="206"/>
        <v>100</v>
      </c>
      <c r="G588" s="3" t="str">
        <f t="shared" si="212"/>
        <v>一级</v>
      </c>
    </row>
    <row r="589" customHeight="1" spans="1:7">
      <c r="A589" s="3" t="str">
        <f>"1788"</f>
        <v>1788</v>
      </c>
      <c r="B589" s="3" t="s">
        <v>70</v>
      </c>
      <c r="C589" s="3" t="str">
        <f>"暮云街道"</f>
        <v>暮云街道</v>
      </c>
      <c r="D589" s="3" t="str">
        <f>"许兴村"</f>
        <v>许兴村</v>
      </c>
      <c r="E589" s="3" t="str">
        <f t="shared" si="209"/>
        <v>140</v>
      </c>
      <c r="F589" s="3" t="str">
        <f t="shared" si="206"/>
        <v>100</v>
      </c>
      <c r="G589" s="3" t="str">
        <f t="shared" si="212"/>
        <v>一级</v>
      </c>
    </row>
    <row r="590" customHeight="1" spans="1:7">
      <c r="A590" s="3" t="str">
        <f>"1789"</f>
        <v>1789</v>
      </c>
      <c r="B590" s="3" t="s">
        <v>1284</v>
      </c>
      <c r="C590" s="3" t="str">
        <f t="shared" si="214"/>
        <v>南托街道</v>
      </c>
      <c r="D590" s="3" t="str">
        <f>"牛角塘村"</f>
        <v>牛角塘村</v>
      </c>
      <c r="E590" s="3" t="str">
        <f t="shared" si="209"/>
        <v>140</v>
      </c>
      <c r="F590" s="3" t="str">
        <f t="shared" si="206"/>
        <v>100</v>
      </c>
      <c r="G590" s="3" t="str">
        <f t="shared" si="212"/>
        <v>一级</v>
      </c>
    </row>
    <row r="591" customHeight="1" spans="1:7">
      <c r="A591" s="3" t="str">
        <f>"1790"</f>
        <v>1790</v>
      </c>
      <c r="B591" s="3" t="s">
        <v>1285</v>
      </c>
      <c r="C591" s="3" t="str">
        <f>"暮云街道"</f>
        <v>暮云街道</v>
      </c>
      <c r="D591" s="3" t="str">
        <f>"许兴村"</f>
        <v>许兴村</v>
      </c>
      <c r="E591" s="3" t="str">
        <f t="shared" si="209"/>
        <v>140</v>
      </c>
      <c r="F591" s="3" t="str">
        <f t="shared" si="206"/>
        <v>100</v>
      </c>
      <c r="G591" s="3" t="str">
        <f t="shared" si="213"/>
        <v>二级</v>
      </c>
    </row>
    <row r="592" customHeight="1" spans="1:7">
      <c r="A592" s="3" t="str">
        <f>"1791"</f>
        <v>1791</v>
      </c>
      <c r="B592" s="3" t="s">
        <v>829</v>
      </c>
      <c r="C592" s="3" t="str">
        <f t="shared" si="214"/>
        <v>南托街道</v>
      </c>
      <c r="D592" s="3" t="str">
        <f>"滨洲新村"</f>
        <v>滨洲新村</v>
      </c>
      <c r="E592" s="3" t="str">
        <f t="shared" si="209"/>
        <v>140</v>
      </c>
      <c r="F592" s="3" t="str">
        <f t="shared" si="206"/>
        <v>100</v>
      </c>
      <c r="G592" s="3" t="str">
        <f t="shared" ref="G592:G596" si="215">"一级"</f>
        <v>一级</v>
      </c>
    </row>
    <row r="593" customHeight="1" spans="1:7">
      <c r="A593" s="3" t="str">
        <f>"1792"</f>
        <v>1792</v>
      </c>
      <c r="B593" s="3" t="s">
        <v>335</v>
      </c>
      <c r="C593" s="3" t="str">
        <f>"新开铺街道"</f>
        <v>新开铺街道</v>
      </c>
      <c r="D593" s="3" t="str">
        <f>"新开铺社区"</f>
        <v>新开铺社区</v>
      </c>
      <c r="E593" s="3" t="str">
        <f t="shared" si="209"/>
        <v>140</v>
      </c>
      <c r="F593" s="3" t="str">
        <f t="shared" si="206"/>
        <v>100</v>
      </c>
      <c r="G593" s="3" t="str">
        <f t="shared" si="215"/>
        <v>一级</v>
      </c>
    </row>
    <row r="594" customHeight="1" spans="1:7">
      <c r="A594" s="3" t="str">
        <f>"1793"</f>
        <v>1793</v>
      </c>
      <c r="B594" s="3" t="s">
        <v>140</v>
      </c>
      <c r="C594" s="3" t="str">
        <f>"赤岭路街道"</f>
        <v>赤岭路街道</v>
      </c>
      <c r="D594" s="3" t="str">
        <f>"书院路社区"</f>
        <v>书院路社区</v>
      </c>
      <c r="E594" s="3" t="str">
        <f t="shared" si="209"/>
        <v>140</v>
      </c>
      <c r="F594" s="3" t="str">
        <f t="shared" si="206"/>
        <v>100</v>
      </c>
      <c r="G594" s="3" t="str">
        <f t="shared" ref="G594:G597" si="216">"二级"</f>
        <v>二级</v>
      </c>
    </row>
    <row r="595" customHeight="1" spans="1:7">
      <c r="A595" s="3" t="str">
        <f>"1794"</f>
        <v>1794</v>
      </c>
      <c r="B595" s="3" t="s">
        <v>267</v>
      </c>
      <c r="C595" s="3" t="str">
        <f>"金盆岭街道"</f>
        <v>金盆岭街道</v>
      </c>
      <c r="D595" s="3" t="str">
        <f>"黄土岭社区"</f>
        <v>黄土岭社区</v>
      </c>
      <c r="E595" s="3" t="str">
        <f t="shared" si="209"/>
        <v>140</v>
      </c>
      <c r="F595" s="3" t="str">
        <f t="shared" si="206"/>
        <v>100</v>
      </c>
      <c r="G595" s="3" t="str">
        <f t="shared" si="216"/>
        <v>二级</v>
      </c>
    </row>
    <row r="596" customHeight="1" spans="1:7">
      <c r="A596" s="3" t="str">
        <f>"1795"</f>
        <v>1795</v>
      </c>
      <c r="B596" s="3" t="s">
        <v>267</v>
      </c>
      <c r="C596" s="3" t="str">
        <f>"新开铺街道"</f>
        <v>新开铺街道</v>
      </c>
      <c r="D596" s="3" t="str">
        <f>"新天社区"</f>
        <v>新天社区</v>
      </c>
      <c r="E596" s="3" t="str">
        <f t="shared" si="209"/>
        <v>140</v>
      </c>
      <c r="F596" s="3" t="str">
        <f t="shared" si="206"/>
        <v>100</v>
      </c>
      <c r="G596" s="3" t="str">
        <f t="shared" si="215"/>
        <v>一级</v>
      </c>
    </row>
    <row r="597" customHeight="1" spans="1:7">
      <c r="A597" s="3" t="str">
        <f>"1796"</f>
        <v>1796</v>
      </c>
      <c r="B597" s="3" t="s">
        <v>1286</v>
      </c>
      <c r="C597" s="3" t="str">
        <f t="shared" ref="C597:C602" si="217">"赤岭路街道"</f>
        <v>赤岭路街道</v>
      </c>
      <c r="D597" s="3" t="str">
        <f>"南大桥社区"</f>
        <v>南大桥社区</v>
      </c>
      <c r="E597" s="3" t="str">
        <f t="shared" si="209"/>
        <v>140</v>
      </c>
      <c r="F597" s="3" t="str">
        <f t="shared" si="206"/>
        <v>100</v>
      </c>
      <c r="G597" s="3" t="str">
        <f t="shared" si="216"/>
        <v>二级</v>
      </c>
    </row>
    <row r="598" customHeight="1" spans="1:7">
      <c r="A598" s="3" t="str">
        <f>"1797"</f>
        <v>1797</v>
      </c>
      <c r="B598" s="3" t="s">
        <v>163</v>
      </c>
      <c r="C598" s="3" t="str">
        <f>"暮云街道"</f>
        <v>暮云街道</v>
      </c>
      <c r="D598" s="3" t="str">
        <f>"云塘社区"</f>
        <v>云塘社区</v>
      </c>
      <c r="E598" s="3" t="str">
        <f t="shared" si="209"/>
        <v>140</v>
      </c>
      <c r="F598" s="3" t="str">
        <f t="shared" si="206"/>
        <v>100</v>
      </c>
      <c r="G598" s="3" t="str">
        <f t="shared" ref="G598:G600" si="218">"一级"</f>
        <v>一级</v>
      </c>
    </row>
    <row r="599" customHeight="1" spans="1:7">
      <c r="A599" s="3" t="str">
        <f>"1798"</f>
        <v>1798</v>
      </c>
      <c r="B599" s="3" t="s">
        <v>1287</v>
      </c>
      <c r="C599" s="3" t="str">
        <f>"城南路街道"</f>
        <v>城南路街道</v>
      </c>
      <c r="D599" s="3" t="str">
        <f>"熙台岭社区"</f>
        <v>熙台岭社区</v>
      </c>
      <c r="E599" s="3" t="str">
        <f t="shared" si="209"/>
        <v>140</v>
      </c>
      <c r="F599" s="3" t="str">
        <f t="shared" si="206"/>
        <v>100</v>
      </c>
      <c r="G599" s="3" t="str">
        <f t="shared" si="218"/>
        <v>一级</v>
      </c>
    </row>
    <row r="600" customHeight="1" spans="1:7">
      <c r="A600" s="3" t="str">
        <f>"1799"</f>
        <v>1799</v>
      </c>
      <c r="B600" s="3" t="s">
        <v>1288</v>
      </c>
      <c r="C600" s="3" t="str">
        <f t="shared" si="217"/>
        <v>赤岭路街道</v>
      </c>
      <c r="D600" s="3" t="str">
        <f>"白沙花园社区"</f>
        <v>白沙花园社区</v>
      </c>
      <c r="E600" s="3" t="str">
        <f t="shared" si="209"/>
        <v>140</v>
      </c>
      <c r="F600" s="3" t="str">
        <f t="shared" si="206"/>
        <v>100</v>
      </c>
      <c r="G600" s="3" t="str">
        <f t="shared" si="218"/>
        <v>一级</v>
      </c>
    </row>
    <row r="601" customHeight="1" spans="1:7">
      <c r="A601" s="3" t="str">
        <f>"1800"</f>
        <v>1800</v>
      </c>
      <c r="B601" s="3" t="s">
        <v>387</v>
      </c>
      <c r="C601" s="3" t="str">
        <f>"先锋街道"</f>
        <v>先锋街道</v>
      </c>
      <c r="D601" s="3" t="str">
        <f>"南城社区"</f>
        <v>南城社区</v>
      </c>
      <c r="E601" s="3" t="str">
        <f t="shared" si="209"/>
        <v>140</v>
      </c>
      <c r="F601" s="3" t="str">
        <f t="shared" si="206"/>
        <v>100</v>
      </c>
      <c r="G601" s="3" t="str">
        <f>"二级"</f>
        <v>二级</v>
      </c>
    </row>
    <row r="602" customHeight="1" spans="1:7">
      <c r="A602" s="3" t="str">
        <f>"1801"</f>
        <v>1801</v>
      </c>
      <c r="B602" s="3" t="s">
        <v>1289</v>
      </c>
      <c r="C602" s="3" t="str">
        <f t="shared" si="217"/>
        <v>赤岭路街道</v>
      </c>
      <c r="D602" s="3" t="str">
        <f>"广厦新村社区"</f>
        <v>广厦新村社区</v>
      </c>
      <c r="E602" s="3" t="str">
        <f t="shared" si="209"/>
        <v>140</v>
      </c>
      <c r="F602" s="3" t="str">
        <f t="shared" si="206"/>
        <v>100</v>
      </c>
      <c r="G602" s="3" t="str">
        <f t="shared" ref="G602:G606" si="219">"一级"</f>
        <v>一级</v>
      </c>
    </row>
    <row r="603" customHeight="1" spans="1:7">
      <c r="A603" s="3" t="str">
        <f>"1802"</f>
        <v>1802</v>
      </c>
      <c r="B603" s="3" t="s">
        <v>1290</v>
      </c>
      <c r="C603" s="3" t="str">
        <f>"南托街道"</f>
        <v>南托街道</v>
      </c>
      <c r="D603" s="3" t="str">
        <f>"牛角塘村"</f>
        <v>牛角塘村</v>
      </c>
      <c r="E603" s="3" t="str">
        <f t="shared" si="209"/>
        <v>140</v>
      </c>
      <c r="F603" s="3" t="str">
        <f t="shared" si="206"/>
        <v>100</v>
      </c>
      <c r="G603" s="3" t="str">
        <f t="shared" si="219"/>
        <v>一级</v>
      </c>
    </row>
    <row r="604" customHeight="1" spans="1:7">
      <c r="A604" s="3" t="str">
        <f>"1803"</f>
        <v>1803</v>
      </c>
      <c r="B604" s="3" t="s">
        <v>32</v>
      </c>
      <c r="C604" s="3" t="str">
        <f>"城南路街道"</f>
        <v>城南路街道</v>
      </c>
      <c r="D604" s="3" t="str">
        <f>"工农桥社区"</f>
        <v>工农桥社区</v>
      </c>
      <c r="E604" s="3" t="str">
        <f t="shared" si="209"/>
        <v>140</v>
      </c>
      <c r="F604" s="3" t="str">
        <f t="shared" si="206"/>
        <v>100</v>
      </c>
      <c r="G604" s="3" t="str">
        <f t="shared" ref="G604:G610" si="220">"二级"</f>
        <v>二级</v>
      </c>
    </row>
    <row r="605" customHeight="1" spans="1:7">
      <c r="A605" s="3" t="str">
        <f>"1804"</f>
        <v>1804</v>
      </c>
      <c r="B605" s="3" t="s">
        <v>419</v>
      </c>
      <c r="C605" s="3" t="str">
        <f>"文源街道"</f>
        <v>文源街道</v>
      </c>
      <c r="D605" s="3" t="str">
        <f>"梅岭社区"</f>
        <v>梅岭社区</v>
      </c>
      <c r="E605" s="3" t="str">
        <f t="shared" si="209"/>
        <v>140</v>
      </c>
      <c r="F605" s="3" t="str">
        <f t="shared" si="206"/>
        <v>100</v>
      </c>
      <c r="G605" s="3" t="str">
        <f t="shared" si="219"/>
        <v>一级</v>
      </c>
    </row>
    <row r="606" customHeight="1" spans="1:7">
      <c r="A606" s="3" t="str">
        <f>"1805"</f>
        <v>1805</v>
      </c>
      <c r="B606" s="3" t="s">
        <v>1291</v>
      </c>
      <c r="C606" s="3" t="str">
        <f>"桂花坪街道"</f>
        <v>桂花坪街道</v>
      </c>
      <c r="D606" s="3" t="str">
        <f>"九峰苑社区"</f>
        <v>九峰苑社区</v>
      </c>
      <c r="E606" s="3" t="str">
        <f t="shared" si="209"/>
        <v>140</v>
      </c>
      <c r="F606" s="3" t="str">
        <f t="shared" si="206"/>
        <v>100</v>
      </c>
      <c r="G606" s="3" t="str">
        <f t="shared" si="219"/>
        <v>一级</v>
      </c>
    </row>
    <row r="607" customHeight="1" spans="1:7">
      <c r="A607" s="3" t="str">
        <f>"1806"</f>
        <v>1806</v>
      </c>
      <c r="B607" s="3" t="s">
        <v>1292</v>
      </c>
      <c r="C607" s="3" t="str">
        <f>"金盆岭街道"</f>
        <v>金盆岭街道</v>
      </c>
      <c r="D607" s="3" t="str">
        <f>"赤岭路社区"</f>
        <v>赤岭路社区</v>
      </c>
      <c r="E607" s="3" t="str">
        <f t="shared" si="209"/>
        <v>140</v>
      </c>
      <c r="F607" s="3" t="str">
        <f t="shared" si="206"/>
        <v>100</v>
      </c>
      <c r="G607" s="3" t="str">
        <f t="shared" si="220"/>
        <v>二级</v>
      </c>
    </row>
    <row r="608" customHeight="1" spans="1:7">
      <c r="A608" s="3" t="str">
        <f>"1807"</f>
        <v>1807</v>
      </c>
      <c r="B608" s="3" t="s">
        <v>132</v>
      </c>
      <c r="C608" s="3" t="str">
        <f t="shared" ref="C608:C613" si="221">"坡子街街道"</f>
        <v>坡子街街道</v>
      </c>
      <c r="D608" s="3" t="str">
        <f t="shared" ref="D608:D613" si="222">"文庙坪社区"</f>
        <v>文庙坪社区</v>
      </c>
      <c r="E608" s="3" t="str">
        <f t="shared" si="209"/>
        <v>140</v>
      </c>
      <c r="F608" s="3" t="str">
        <f t="shared" si="206"/>
        <v>100</v>
      </c>
      <c r="G608" s="3" t="str">
        <f>"一级"</f>
        <v>一级</v>
      </c>
    </row>
    <row r="609" customHeight="1" spans="1:7">
      <c r="A609" s="3" t="str">
        <f>"1808"</f>
        <v>1808</v>
      </c>
      <c r="B609" s="3" t="s">
        <v>125</v>
      </c>
      <c r="C609" s="3" t="str">
        <f>"裕南街街道"</f>
        <v>裕南街街道</v>
      </c>
      <c r="D609" s="3" t="str">
        <f>"东瓜山社区"</f>
        <v>东瓜山社区</v>
      </c>
      <c r="E609" s="3" t="str">
        <f t="shared" si="209"/>
        <v>140</v>
      </c>
      <c r="F609" s="3" t="str">
        <f t="shared" si="206"/>
        <v>100</v>
      </c>
      <c r="G609" s="3" t="str">
        <f t="shared" si="220"/>
        <v>二级</v>
      </c>
    </row>
    <row r="610" customHeight="1" spans="1:7">
      <c r="A610" s="3" t="str">
        <f>"1809"</f>
        <v>1809</v>
      </c>
      <c r="B610" s="3" t="s">
        <v>70</v>
      </c>
      <c r="C610" s="3" t="str">
        <f t="shared" si="221"/>
        <v>坡子街街道</v>
      </c>
      <c r="D610" s="3" t="str">
        <f t="shared" si="222"/>
        <v>文庙坪社区</v>
      </c>
      <c r="E610" s="3" t="str">
        <f t="shared" si="209"/>
        <v>140</v>
      </c>
      <c r="F610" s="3" t="str">
        <f t="shared" si="206"/>
        <v>100</v>
      </c>
      <c r="G610" s="3" t="str">
        <f t="shared" si="220"/>
        <v>二级</v>
      </c>
    </row>
    <row r="611" customHeight="1" spans="1:7">
      <c r="A611" s="3" t="str">
        <f>"1810"</f>
        <v>1810</v>
      </c>
      <c r="B611" s="3" t="s">
        <v>125</v>
      </c>
      <c r="C611" s="3" t="str">
        <f t="shared" si="221"/>
        <v>坡子街街道</v>
      </c>
      <c r="D611" s="3" t="str">
        <f>"太平街社区"</f>
        <v>太平街社区</v>
      </c>
      <c r="E611" s="3" t="str">
        <f t="shared" si="209"/>
        <v>140</v>
      </c>
      <c r="F611" s="3" t="str">
        <f t="shared" si="206"/>
        <v>100</v>
      </c>
      <c r="G611" s="3" t="str">
        <f t="shared" ref="G611:G617" si="223">"一级"</f>
        <v>一级</v>
      </c>
    </row>
    <row r="612" customHeight="1" spans="1:7">
      <c r="A612" s="3" t="str">
        <f>"1811"</f>
        <v>1811</v>
      </c>
      <c r="B612" s="3" t="s">
        <v>1293</v>
      </c>
      <c r="C612" s="3" t="str">
        <f t="shared" si="221"/>
        <v>坡子街街道</v>
      </c>
      <c r="D612" s="3" t="str">
        <f t="shared" si="222"/>
        <v>文庙坪社区</v>
      </c>
      <c r="E612" s="3" t="str">
        <f t="shared" si="209"/>
        <v>140</v>
      </c>
      <c r="F612" s="3" t="str">
        <f t="shared" si="206"/>
        <v>100</v>
      </c>
      <c r="G612" s="3" t="str">
        <f t="shared" ref="G612:G614" si="224">"二级"</f>
        <v>二级</v>
      </c>
    </row>
    <row r="613" customHeight="1" spans="1:7">
      <c r="A613" s="3" t="str">
        <f>"1812"</f>
        <v>1812</v>
      </c>
      <c r="B613" s="3" t="s">
        <v>139</v>
      </c>
      <c r="C613" s="3" t="str">
        <f t="shared" si="221"/>
        <v>坡子街街道</v>
      </c>
      <c r="D613" s="3" t="str">
        <f t="shared" si="222"/>
        <v>文庙坪社区</v>
      </c>
      <c r="E613" s="3" t="str">
        <f t="shared" si="209"/>
        <v>140</v>
      </c>
      <c r="F613" s="3" t="str">
        <f t="shared" si="206"/>
        <v>100</v>
      </c>
      <c r="G613" s="3" t="str">
        <f t="shared" si="224"/>
        <v>二级</v>
      </c>
    </row>
    <row r="614" customHeight="1" spans="1:7">
      <c r="A614" s="3" t="str">
        <f>"1813"</f>
        <v>1813</v>
      </c>
      <c r="B614" s="3" t="s">
        <v>1294</v>
      </c>
      <c r="C614" s="3" t="str">
        <f>"青园街道"</f>
        <v>青园街道</v>
      </c>
      <c r="D614" s="3" t="str">
        <f>"青园社区"</f>
        <v>青园社区</v>
      </c>
      <c r="E614" s="3" t="str">
        <f t="shared" si="209"/>
        <v>140</v>
      </c>
      <c r="F614" s="3" t="str">
        <f t="shared" si="206"/>
        <v>100</v>
      </c>
      <c r="G614" s="3" t="str">
        <f t="shared" si="224"/>
        <v>二级</v>
      </c>
    </row>
    <row r="615" customHeight="1" spans="1:7">
      <c r="A615" s="3" t="str">
        <f>"1814"</f>
        <v>1814</v>
      </c>
      <c r="B615" s="3" t="s">
        <v>1295</v>
      </c>
      <c r="C615" s="3" t="str">
        <f>"赤岭路街道"</f>
        <v>赤岭路街道</v>
      </c>
      <c r="D615" s="3" t="str">
        <f>"广厦新村社区"</f>
        <v>广厦新村社区</v>
      </c>
      <c r="E615" s="3" t="str">
        <f t="shared" si="209"/>
        <v>140</v>
      </c>
      <c r="F615" s="3" t="str">
        <f t="shared" si="206"/>
        <v>100</v>
      </c>
      <c r="G615" s="3" t="str">
        <f t="shared" si="223"/>
        <v>一级</v>
      </c>
    </row>
    <row r="616" customHeight="1" spans="1:7">
      <c r="A616" s="3" t="str">
        <f>"1815"</f>
        <v>1815</v>
      </c>
      <c r="B616" s="3" t="s">
        <v>1296</v>
      </c>
      <c r="C616" s="3" t="str">
        <f>"青园街道"</f>
        <v>青园街道</v>
      </c>
      <c r="D616" s="3" t="str">
        <f>"青园社区"</f>
        <v>青园社区</v>
      </c>
      <c r="E616" s="3" t="str">
        <f t="shared" si="209"/>
        <v>140</v>
      </c>
      <c r="F616" s="3" t="str">
        <f t="shared" si="206"/>
        <v>100</v>
      </c>
      <c r="G616" s="3" t="str">
        <f t="shared" si="223"/>
        <v>一级</v>
      </c>
    </row>
    <row r="617" customHeight="1" spans="1:7">
      <c r="A617" s="3" t="str">
        <f>"1816"</f>
        <v>1816</v>
      </c>
      <c r="B617" s="3" t="s">
        <v>1297</v>
      </c>
      <c r="C617" s="3" t="str">
        <f>"城南路街道"</f>
        <v>城南路街道</v>
      </c>
      <c r="D617" s="3" t="str">
        <f>"工农桥社区"</f>
        <v>工农桥社区</v>
      </c>
      <c r="E617" s="3" t="str">
        <f t="shared" si="209"/>
        <v>140</v>
      </c>
      <c r="F617" s="3" t="str">
        <f t="shared" si="206"/>
        <v>100</v>
      </c>
      <c r="G617" s="3" t="str">
        <f t="shared" si="223"/>
        <v>一级</v>
      </c>
    </row>
    <row r="618" customHeight="1" spans="1:7">
      <c r="A618" s="3" t="str">
        <f>"1817"</f>
        <v>1817</v>
      </c>
      <c r="B618" s="3" t="s">
        <v>1298</v>
      </c>
      <c r="C618" s="3" t="str">
        <f>"暮云街道"</f>
        <v>暮云街道</v>
      </c>
      <c r="D618" s="3" t="str">
        <f>"许兴村"</f>
        <v>许兴村</v>
      </c>
      <c r="E618" s="3" t="str">
        <f t="shared" si="209"/>
        <v>140</v>
      </c>
      <c r="F618" s="3" t="str">
        <f t="shared" si="206"/>
        <v>100</v>
      </c>
      <c r="G618" s="3" t="str">
        <f t="shared" ref="G618:G621" si="225">"二级"</f>
        <v>二级</v>
      </c>
    </row>
    <row r="619" customHeight="1" spans="1:7">
      <c r="A619" s="3" t="str">
        <f>"1818"</f>
        <v>1818</v>
      </c>
      <c r="B619" s="3" t="s">
        <v>92</v>
      </c>
      <c r="C619" s="3" t="str">
        <f>"暮云街道"</f>
        <v>暮云街道</v>
      </c>
      <c r="D619" s="3" t="str">
        <f>"高云社区"</f>
        <v>高云社区</v>
      </c>
      <c r="E619" s="3" t="str">
        <f t="shared" si="209"/>
        <v>140</v>
      </c>
      <c r="F619" s="3" t="str">
        <f t="shared" si="206"/>
        <v>100</v>
      </c>
      <c r="G619" s="3" t="str">
        <f t="shared" si="225"/>
        <v>二级</v>
      </c>
    </row>
    <row r="620" customHeight="1" spans="1:7">
      <c r="A620" s="3" t="str">
        <f>"1819"</f>
        <v>1819</v>
      </c>
      <c r="B620" s="3" t="s">
        <v>1299</v>
      </c>
      <c r="C620" s="3" t="str">
        <f>"裕南街街道"</f>
        <v>裕南街街道</v>
      </c>
      <c r="D620" s="3" t="str">
        <f>"长坡社区"</f>
        <v>长坡社区</v>
      </c>
      <c r="E620" s="3" t="str">
        <f t="shared" si="209"/>
        <v>140</v>
      </c>
      <c r="F620" s="3" t="str">
        <f t="shared" si="206"/>
        <v>100</v>
      </c>
      <c r="G620" s="3" t="str">
        <f t="shared" si="225"/>
        <v>二级</v>
      </c>
    </row>
    <row r="621" customHeight="1" spans="1:7">
      <c r="A621" s="3" t="str">
        <f>"1820"</f>
        <v>1820</v>
      </c>
      <c r="B621" s="3" t="s">
        <v>1300</v>
      </c>
      <c r="C621" s="3" t="str">
        <f t="shared" ref="C621:C624" si="226">"坡子街街道"</f>
        <v>坡子街街道</v>
      </c>
      <c r="D621" s="3" t="str">
        <f>"八角亭社区"</f>
        <v>八角亭社区</v>
      </c>
      <c r="E621" s="3" t="str">
        <f t="shared" si="209"/>
        <v>140</v>
      </c>
      <c r="F621" s="3" t="str">
        <f t="shared" si="206"/>
        <v>100</v>
      </c>
      <c r="G621" s="3" t="str">
        <f t="shared" si="225"/>
        <v>二级</v>
      </c>
    </row>
    <row r="622" customHeight="1" spans="1:7">
      <c r="A622" s="3" t="str">
        <f>"1821"</f>
        <v>1821</v>
      </c>
      <c r="B622" s="3" t="s">
        <v>32</v>
      </c>
      <c r="C622" s="3" t="str">
        <f t="shared" si="226"/>
        <v>坡子街街道</v>
      </c>
      <c r="D622" s="3" t="str">
        <f>"楚湘社区"</f>
        <v>楚湘社区</v>
      </c>
      <c r="E622" s="3" t="str">
        <f t="shared" si="209"/>
        <v>140</v>
      </c>
      <c r="F622" s="3" t="str">
        <f t="shared" si="206"/>
        <v>100</v>
      </c>
      <c r="G622" s="3" t="str">
        <f>"一级"</f>
        <v>一级</v>
      </c>
    </row>
    <row r="623" customHeight="1" spans="1:7">
      <c r="A623" s="3" t="str">
        <f>"1822"</f>
        <v>1822</v>
      </c>
      <c r="B623" s="3" t="s">
        <v>1301</v>
      </c>
      <c r="C623" s="3" t="str">
        <f>"文源街道"</f>
        <v>文源街道</v>
      </c>
      <c r="D623" s="3" t="str">
        <f>"梅岭社区"</f>
        <v>梅岭社区</v>
      </c>
      <c r="E623" s="3" t="str">
        <f t="shared" si="209"/>
        <v>140</v>
      </c>
      <c r="F623" s="3" t="str">
        <f t="shared" si="206"/>
        <v>100</v>
      </c>
      <c r="G623" s="3" t="str">
        <f t="shared" ref="G623:G626" si="227">"二级"</f>
        <v>二级</v>
      </c>
    </row>
    <row r="624" customHeight="1" spans="1:7">
      <c r="A624" s="3" t="str">
        <f>"1823"</f>
        <v>1823</v>
      </c>
      <c r="B624" s="3" t="s">
        <v>1302</v>
      </c>
      <c r="C624" s="3" t="str">
        <f t="shared" si="226"/>
        <v>坡子街街道</v>
      </c>
      <c r="D624" s="3" t="str">
        <f>"坡子街社区"</f>
        <v>坡子街社区</v>
      </c>
      <c r="E624" s="3" t="str">
        <f t="shared" si="209"/>
        <v>140</v>
      </c>
      <c r="F624" s="3" t="str">
        <f t="shared" si="206"/>
        <v>100</v>
      </c>
      <c r="G624" s="3" t="str">
        <f t="shared" si="227"/>
        <v>二级</v>
      </c>
    </row>
    <row r="625" customHeight="1" spans="1:7">
      <c r="A625" s="3" t="str">
        <f>"1824"</f>
        <v>1824</v>
      </c>
      <c r="B625" s="3" t="s">
        <v>1303</v>
      </c>
      <c r="C625" s="3" t="str">
        <f>"金盆岭街道"</f>
        <v>金盆岭街道</v>
      </c>
      <c r="D625" s="3" t="str">
        <f>"天剑社区"</f>
        <v>天剑社区</v>
      </c>
      <c r="E625" s="3" t="str">
        <f t="shared" si="209"/>
        <v>140</v>
      </c>
      <c r="F625" s="3" t="str">
        <f t="shared" si="206"/>
        <v>100</v>
      </c>
      <c r="G625" s="3" t="str">
        <f t="shared" si="227"/>
        <v>二级</v>
      </c>
    </row>
    <row r="626" customHeight="1" spans="1:7">
      <c r="A626" s="3" t="str">
        <f>"1825"</f>
        <v>1825</v>
      </c>
      <c r="B626" s="3" t="s">
        <v>163</v>
      </c>
      <c r="C626" s="3" t="str">
        <f>"城南路街道"</f>
        <v>城南路街道</v>
      </c>
      <c r="D626" s="3" t="str">
        <f>"吴家坪社区"</f>
        <v>吴家坪社区</v>
      </c>
      <c r="E626" s="3" t="str">
        <f t="shared" si="209"/>
        <v>140</v>
      </c>
      <c r="F626" s="3" t="str">
        <f t="shared" si="206"/>
        <v>100</v>
      </c>
      <c r="G626" s="3" t="str">
        <f t="shared" si="227"/>
        <v>二级</v>
      </c>
    </row>
    <row r="627" customHeight="1" spans="1:7">
      <c r="A627" s="3" t="str">
        <f>"1826"</f>
        <v>1826</v>
      </c>
      <c r="B627" s="3" t="s">
        <v>355</v>
      </c>
      <c r="C627" s="3" t="str">
        <f>"大托铺街道"</f>
        <v>大托铺街道</v>
      </c>
      <c r="D627" s="3" t="str">
        <f>"兴隆村委会"</f>
        <v>兴隆村委会</v>
      </c>
      <c r="E627" s="3" t="str">
        <f t="shared" si="209"/>
        <v>140</v>
      </c>
      <c r="F627" s="3" t="str">
        <f t="shared" si="206"/>
        <v>100</v>
      </c>
      <c r="G627" s="3" t="str">
        <f t="shared" ref="G627:G630" si="228">"一级"</f>
        <v>一级</v>
      </c>
    </row>
    <row r="628" customHeight="1" spans="1:7">
      <c r="A628" s="3" t="str">
        <f>"1827"</f>
        <v>1827</v>
      </c>
      <c r="B628" s="3" t="s">
        <v>140</v>
      </c>
      <c r="C628" s="3" t="str">
        <f t="shared" ref="C628:C632" si="229">"赤岭路街道"</f>
        <v>赤岭路街道</v>
      </c>
      <c r="D628" s="3" t="str">
        <f>"猴子石社区"</f>
        <v>猴子石社区</v>
      </c>
      <c r="E628" s="3" t="str">
        <f t="shared" si="209"/>
        <v>140</v>
      </c>
      <c r="F628" s="3" t="str">
        <f t="shared" si="206"/>
        <v>100</v>
      </c>
      <c r="G628" s="3" t="str">
        <f t="shared" ref="G628:G638" si="230">"二级"</f>
        <v>二级</v>
      </c>
    </row>
    <row r="629" customHeight="1" spans="1:7">
      <c r="A629" s="3" t="str">
        <f>"1828"</f>
        <v>1828</v>
      </c>
      <c r="B629" s="3" t="s">
        <v>355</v>
      </c>
      <c r="C629" s="3" t="str">
        <f t="shared" si="229"/>
        <v>赤岭路街道</v>
      </c>
      <c r="D629" s="3" t="str">
        <f>"新丰社区"</f>
        <v>新丰社区</v>
      </c>
      <c r="E629" s="3" t="str">
        <f t="shared" si="209"/>
        <v>140</v>
      </c>
      <c r="F629" s="3" t="str">
        <f t="shared" si="206"/>
        <v>100</v>
      </c>
      <c r="G629" s="3" t="str">
        <f t="shared" si="228"/>
        <v>一级</v>
      </c>
    </row>
    <row r="630" customHeight="1" spans="1:7">
      <c r="A630" s="3" t="str">
        <f>"1829"</f>
        <v>1829</v>
      </c>
      <c r="B630" s="3" t="s">
        <v>1304</v>
      </c>
      <c r="C630" s="3" t="str">
        <f>"裕南街街道"</f>
        <v>裕南街街道</v>
      </c>
      <c r="D630" s="3" t="str">
        <f>"火把山社区"</f>
        <v>火把山社区</v>
      </c>
      <c r="E630" s="3" t="str">
        <f t="shared" si="209"/>
        <v>140</v>
      </c>
      <c r="F630" s="3" t="str">
        <f t="shared" si="206"/>
        <v>100</v>
      </c>
      <c r="G630" s="3" t="str">
        <f t="shared" si="228"/>
        <v>一级</v>
      </c>
    </row>
    <row r="631" customHeight="1" spans="1:7">
      <c r="A631" s="3" t="str">
        <f>"1830"</f>
        <v>1830</v>
      </c>
      <c r="B631" s="3" t="s">
        <v>1305</v>
      </c>
      <c r="C631" s="3" t="str">
        <f>"城南路街道"</f>
        <v>城南路街道</v>
      </c>
      <c r="D631" s="3" t="str">
        <f>"吴家坪社区"</f>
        <v>吴家坪社区</v>
      </c>
      <c r="E631" s="3" t="str">
        <f t="shared" si="209"/>
        <v>140</v>
      </c>
      <c r="F631" s="3" t="str">
        <f t="shared" si="206"/>
        <v>100</v>
      </c>
      <c r="G631" s="3" t="str">
        <f t="shared" si="230"/>
        <v>二级</v>
      </c>
    </row>
    <row r="632" customHeight="1" spans="1:7">
      <c r="A632" s="3" t="str">
        <f>"1831"</f>
        <v>1831</v>
      </c>
      <c r="B632" s="3" t="s">
        <v>444</v>
      </c>
      <c r="C632" s="3" t="str">
        <f t="shared" si="229"/>
        <v>赤岭路街道</v>
      </c>
      <c r="D632" s="3" t="str">
        <f>"新丰社区"</f>
        <v>新丰社区</v>
      </c>
      <c r="E632" s="3" t="str">
        <f t="shared" si="209"/>
        <v>140</v>
      </c>
      <c r="F632" s="3" t="str">
        <f t="shared" si="206"/>
        <v>100</v>
      </c>
      <c r="G632" s="3" t="str">
        <f t="shared" si="230"/>
        <v>二级</v>
      </c>
    </row>
    <row r="633" customHeight="1" spans="1:7">
      <c r="A633" s="3" t="str">
        <f>"1832"</f>
        <v>1832</v>
      </c>
      <c r="B633" s="3" t="s">
        <v>68</v>
      </c>
      <c r="C633" s="3" t="str">
        <f>"城南路街道"</f>
        <v>城南路街道</v>
      </c>
      <c r="D633" s="3" t="str">
        <f>"白沙井社区"</f>
        <v>白沙井社区</v>
      </c>
      <c r="E633" s="3" t="str">
        <f t="shared" si="209"/>
        <v>140</v>
      </c>
      <c r="F633" s="3" t="str">
        <f t="shared" si="206"/>
        <v>100</v>
      </c>
      <c r="G633" s="3" t="str">
        <f t="shared" si="230"/>
        <v>二级</v>
      </c>
    </row>
    <row r="634" customHeight="1" spans="1:7">
      <c r="A634" s="3" t="str">
        <f>"1833"</f>
        <v>1833</v>
      </c>
      <c r="B634" s="3" t="s">
        <v>1306</v>
      </c>
      <c r="C634" s="3" t="str">
        <f>"文源街道"</f>
        <v>文源街道</v>
      </c>
      <c r="D634" s="3" t="str">
        <f>"梅岭社区"</f>
        <v>梅岭社区</v>
      </c>
      <c r="E634" s="3" t="str">
        <f t="shared" si="209"/>
        <v>140</v>
      </c>
      <c r="F634" s="3" t="str">
        <f t="shared" si="206"/>
        <v>100</v>
      </c>
      <c r="G634" s="3" t="str">
        <f t="shared" si="230"/>
        <v>二级</v>
      </c>
    </row>
    <row r="635" customHeight="1" spans="1:7">
      <c r="A635" s="3" t="str">
        <f>"1834"</f>
        <v>1834</v>
      </c>
      <c r="B635" s="3" t="s">
        <v>1307</v>
      </c>
      <c r="C635" s="3" t="str">
        <f t="shared" ref="C635:C641" si="231">"裕南街街道"</f>
        <v>裕南街街道</v>
      </c>
      <c r="D635" s="3" t="str">
        <f>"裕南街社区"</f>
        <v>裕南街社区</v>
      </c>
      <c r="E635" s="3" t="str">
        <f t="shared" si="209"/>
        <v>140</v>
      </c>
      <c r="F635" s="3" t="str">
        <f t="shared" si="206"/>
        <v>100</v>
      </c>
      <c r="G635" s="3" t="str">
        <f t="shared" si="230"/>
        <v>二级</v>
      </c>
    </row>
    <row r="636" customHeight="1" spans="1:7">
      <c r="A636" s="3" t="str">
        <f>"1835"</f>
        <v>1835</v>
      </c>
      <c r="B636" s="3" t="s">
        <v>1308</v>
      </c>
      <c r="C636" s="3" t="str">
        <f>"金盆岭街道"</f>
        <v>金盆岭街道</v>
      </c>
      <c r="D636" s="3" t="str">
        <f>"狮子山社区"</f>
        <v>狮子山社区</v>
      </c>
      <c r="E636" s="3" t="str">
        <f t="shared" si="209"/>
        <v>140</v>
      </c>
      <c r="F636" s="3" t="str">
        <f t="shared" si="206"/>
        <v>100</v>
      </c>
      <c r="G636" s="3" t="str">
        <f t="shared" si="230"/>
        <v>二级</v>
      </c>
    </row>
    <row r="637" customHeight="1" spans="1:7">
      <c r="A637" s="3" t="str">
        <f>"1836"</f>
        <v>1836</v>
      </c>
      <c r="B637" s="3" t="s">
        <v>1309</v>
      </c>
      <c r="C637" s="3" t="str">
        <f t="shared" si="231"/>
        <v>裕南街街道</v>
      </c>
      <c r="D637" s="3" t="str">
        <f>"仰天湖社区"</f>
        <v>仰天湖社区</v>
      </c>
      <c r="E637" s="3" t="str">
        <f t="shared" si="209"/>
        <v>140</v>
      </c>
      <c r="F637" s="3" t="str">
        <f t="shared" si="206"/>
        <v>100</v>
      </c>
      <c r="G637" s="3" t="str">
        <f t="shared" si="230"/>
        <v>二级</v>
      </c>
    </row>
    <row r="638" customHeight="1" spans="1:7">
      <c r="A638" s="3" t="str">
        <f>"1837"</f>
        <v>1837</v>
      </c>
      <c r="B638" s="3" t="s">
        <v>1310</v>
      </c>
      <c r="C638" s="3" t="str">
        <f>"坡子街街道"</f>
        <v>坡子街街道</v>
      </c>
      <c r="D638" s="3" t="str">
        <f>"西湖社区"</f>
        <v>西湖社区</v>
      </c>
      <c r="E638" s="3" t="str">
        <f t="shared" si="209"/>
        <v>140</v>
      </c>
      <c r="F638" s="3" t="str">
        <f t="shared" si="206"/>
        <v>100</v>
      </c>
      <c r="G638" s="3" t="str">
        <f t="shared" si="230"/>
        <v>二级</v>
      </c>
    </row>
    <row r="639" customHeight="1" spans="1:7">
      <c r="A639" s="3" t="str">
        <f>"1838"</f>
        <v>1838</v>
      </c>
      <c r="B639" s="3" t="s">
        <v>1311</v>
      </c>
      <c r="C639" s="3" t="str">
        <f>"城南路街道"</f>
        <v>城南路街道</v>
      </c>
      <c r="D639" s="3" t="str">
        <f>"天心阁社区"</f>
        <v>天心阁社区</v>
      </c>
      <c r="E639" s="3" t="str">
        <f t="shared" si="209"/>
        <v>140</v>
      </c>
      <c r="F639" s="3" t="str">
        <f t="shared" ref="F639:F702" si="232">"100"</f>
        <v>100</v>
      </c>
      <c r="G639" s="3" t="str">
        <f>"一级"</f>
        <v>一级</v>
      </c>
    </row>
    <row r="640" customHeight="1" spans="1:7">
      <c r="A640" s="3" t="str">
        <f>"1839"</f>
        <v>1839</v>
      </c>
      <c r="B640" s="3" t="s">
        <v>1312</v>
      </c>
      <c r="C640" s="3" t="str">
        <f t="shared" si="231"/>
        <v>裕南街街道</v>
      </c>
      <c r="D640" s="3" t="str">
        <f>"宝塔山社区"</f>
        <v>宝塔山社区</v>
      </c>
      <c r="E640" s="3" t="str">
        <f t="shared" si="209"/>
        <v>140</v>
      </c>
      <c r="F640" s="3" t="str">
        <f t="shared" si="232"/>
        <v>100</v>
      </c>
      <c r="G640" s="3" t="str">
        <f t="shared" ref="G640:G644" si="233">"二级"</f>
        <v>二级</v>
      </c>
    </row>
    <row r="641" customHeight="1" spans="1:7">
      <c r="A641" s="3" t="str">
        <f>"1840"</f>
        <v>1840</v>
      </c>
      <c r="B641" s="3" t="s">
        <v>1313</v>
      </c>
      <c r="C641" s="3" t="str">
        <f t="shared" si="231"/>
        <v>裕南街街道</v>
      </c>
      <c r="D641" s="3" t="str">
        <f>"火把山社区"</f>
        <v>火把山社区</v>
      </c>
      <c r="E641" s="3" t="str">
        <f t="shared" si="209"/>
        <v>140</v>
      </c>
      <c r="F641" s="3" t="str">
        <f t="shared" si="232"/>
        <v>100</v>
      </c>
      <c r="G641" s="3" t="str">
        <f t="shared" si="233"/>
        <v>二级</v>
      </c>
    </row>
    <row r="642" customHeight="1" spans="1:7">
      <c r="A642" s="3" t="str">
        <f>"1841"</f>
        <v>1841</v>
      </c>
      <c r="B642" s="3" t="s">
        <v>1314</v>
      </c>
      <c r="C642" s="3" t="str">
        <f>"坡子街街道"</f>
        <v>坡子街街道</v>
      </c>
      <c r="D642" s="3" t="str">
        <f>"创远社区"</f>
        <v>创远社区</v>
      </c>
      <c r="E642" s="3" t="str">
        <f t="shared" ref="E642:E705" si="234">"140"</f>
        <v>140</v>
      </c>
      <c r="F642" s="3" t="str">
        <f t="shared" si="232"/>
        <v>100</v>
      </c>
      <c r="G642" s="3" t="str">
        <f t="shared" si="233"/>
        <v>二级</v>
      </c>
    </row>
    <row r="643" customHeight="1" spans="1:7">
      <c r="A643" s="3" t="str">
        <f>"1842"</f>
        <v>1842</v>
      </c>
      <c r="B643" s="3" t="s">
        <v>1315</v>
      </c>
      <c r="C643" s="3" t="str">
        <f>"金盆岭街道"</f>
        <v>金盆岭街道</v>
      </c>
      <c r="D643" s="3" t="str">
        <f>"赤岭路社区"</f>
        <v>赤岭路社区</v>
      </c>
      <c r="E643" s="3" t="str">
        <f t="shared" si="234"/>
        <v>140</v>
      </c>
      <c r="F643" s="3" t="str">
        <f t="shared" si="232"/>
        <v>100</v>
      </c>
      <c r="G643" s="3" t="str">
        <f t="shared" si="233"/>
        <v>二级</v>
      </c>
    </row>
    <row r="644" customHeight="1" spans="1:7">
      <c r="A644" s="3" t="str">
        <f>"1843"</f>
        <v>1843</v>
      </c>
      <c r="B644" s="3" t="s">
        <v>1316</v>
      </c>
      <c r="C644" s="3" t="str">
        <f>"裕南街街道"</f>
        <v>裕南街街道</v>
      </c>
      <c r="D644" s="3" t="str">
        <f>"东瓜山社区"</f>
        <v>东瓜山社区</v>
      </c>
      <c r="E644" s="3" t="str">
        <f t="shared" si="234"/>
        <v>140</v>
      </c>
      <c r="F644" s="3" t="str">
        <f t="shared" si="232"/>
        <v>100</v>
      </c>
      <c r="G644" s="3" t="str">
        <f t="shared" si="233"/>
        <v>二级</v>
      </c>
    </row>
    <row r="645" customHeight="1" spans="1:7">
      <c r="A645" s="3" t="str">
        <f>"1844"</f>
        <v>1844</v>
      </c>
      <c r="B645" s="3" t="s">
        <v>1317</v>
      </c>
      <c r="C645" s="3" t="str">
        <f>"新开铺街道"</f>
        <v>新开铺街道</v>
      </c>
      <c r="D645" s="3" t="str">
        <f>"新开铺社区"</f>
        <v>新开铺社区</v>
      </c>
      <c r="E645" s="3" t="str">
        <f t="shared" si="234"/>
        <v>140</v>
      </c>
      <c r="F645" s="3" t="str">
        <f t="shared" si="232"/>
        <v>100</v>
      </c>
      <c r="G645" s="3" t="str">
        <f t="shared" ref="G645:G648" si="235">"一级"</f>
        <v>一级</v>
      </c>
    </row>
    <row r="646" customHeight="1" spans="1:7">
      <c r="A646" s="3" t="str">
        <f>"1845"</f>
        <v>1845</v>
      </c>
      <c r="B646" s="3" t="s">
        <v>125</v>
      </c>
      <c r="C646" s="3" t="str">
        <f>"赤岭路街道"</f>
        <v>赤岭路街道</v>
      </c>
      <c r="D646" s="3" t="str">
        <f>"南大桥社区"</f>
        <v>南大桥社区</v>
      </c>
      <c r="E646" s="3" t="str">
        <f t="shared" si="234"/>
        <v>140</v>
      </c>
      <c r="F646" s="3" t="str">
        <f t="shared" si="232"/>
        <v>100</v>
      </c>
      <c r="G646" s="3" t="str">
        <f t="shared" si="235"/>
        <v>一级</v>
      </c>
    </row>
    <row r="647" customHeight="1" spans="1:7">
      <c r="A647" s="3" t="str">
        <f>"1846"</f>
        <v>1846</v>
      </c>
      <c r="B647" s="3" t="s">
        <v>72</v>
      </c>
      <c r="C647" s="3" t="str">
        <f>"赤岭路街道"</f>
        <v>赤岭路街道</v>
      </c>
      <c r="D647" s="3" t="str">
        <f>"新丰社区"</f>
        <v>新丰社区</v>
      </c>
      <c r="E647" s="3" t="str">
        <f t="shared" si="234"/>
        <v>140</v>
      </c>
      <c r="F647" s="3" t="str">
        <f t="shared" si="232"/>
        <v>100</v>
      </c>
      <c r="G647" s="3" t="str">
        <f t="shared" ref="G647:G651" si="236">"二级"</f>
        <v>二级</v>
      </c>
    </row>
    <row r="648" customHeight="1" spans="1:7">
      <c r="A648" s="3" t="str">
        <f>"1847"</f>
        <v>1847</v>
      </c>
      <c r="B648" s="3" t="s">
        <v>1318</v>
      </c>
      <c r="C648" s="3" t="str">
        <f>"裕南街街道"</f>
        <v>裕南街街道</v>
      </c>
      <c r="D648" s="3" t="str">
        <f>"裕南街社区"</f>
        <v>裕南街社区</v>
      </c>
      <c r="E648" s="3" t="str">
        <f t="shared" si="234"/>
        <v>140</v>
      </c>
      <c r="F648" s="3" t="str">
        <f t="shared" si="232"/>
        <v>100</v>
      </c>
      <c r="G648" s="3" t="str">
        <f t="shared" si="235"/>
        <v>一级</v>
      </c>
    </row>
    <row r="649" customHeight="1" spans="1:7">
      <c r="A649" s="3" t="str">
        <f>"1848"</f>
        <v>1848</v>
      </c>
      <c r="B649" s="3" t="s">
        <v>125</v>
      </c>
      <c r="C649" s="3" t="str">
        <f>"坡子街街道"</f>
        <v>坡子街街道</v>
      </c>
      <c r="D649" s="3" t="str">
        <f>"西湖社区"</f>
        <v>西湖社区</v>
      </c>
      <c r="E649" s="3" t="str">
        <f t="shared" si="234"/>
        <v>140</v>
      </c>
      <c r="F649" s="3" t="str">
        <f t="shared" si="232"/>
        <v>100</v>
      </c>
      <c r="G649" s="3" t="str">
        <f t="shared" si="236"/>
        <v>二级</v>
      </c>
    </row>
    <row r="650" customHeight="1" spans="1:7">
      <c r="A650" s="3" t="str">
        <f>"1849"</f>
        <v>1849</v>
      </c>
      <c r="B650" s="3" t="s">
        <v>1319</v>
      </c>
      <c r="C650" s="3" t="str">
        <f>"金盆岭街道"</f>
        <v>金盆岭街道</v>
      </c>
      <c r="D650" s="3" t="str">
        <f>"狮子山社区"</f>
        <v>狮子山社区</v>
      </c>
      <c r="E650" s="3" t="str">
        <f t="shared" si="234"/>
        <v>140</v>
      </c>
      <c r="F650" s="3" t="str">
        <f t="shared" si="232"/>
        <v>100</v>
      </c>
      <c r="G650" s="3" t="str">
        <f t="shared" si="236"/>
        <v>二级</v>
      </c>
    </row>
    <row r="651" customHeight="1" spans="1:7">
      <c r="A651" s="3" t="str">
        <f>"1850"</f>
        <v>1850</v>
      </c>
      <c r="B651" s="3" t="s">
        <v>797</v>
      </c>
      <c r="C651" s="3" t="str">
        <f>"南托街道"</f>
        <v>南托街道</v>
      </c>
      <c r="D651" s="3" t="str">
        <f>"融城社区"</f>
        <v>融城社区</v>
      </c>
      <c r="E651" s="3" t="str">
        <f t="shared" si="234"/>
        <v>140</v>
      </c>
      <c r="F651" s="3" t="str">
        <f t="shared" si="232"/>
        <v>100</v>
      </c>
      <c r="G651" s="3" t="str">
        <f t="shared" si="236"/>
        <v>二级</v>
      </c>
    </row>
    <row r="652" customHeight="1" spans="1:7">
      <c r="A652" s="3" t="str">
        <f>"1851"</f>
        <v>1851</v>
      </c>
      <c r="B652" s="3" t="s">
        <v>1320</v>
      </c>
      <c r="C652" s="3" t="str">
        <f>"城南路街道"</f>
        <v>城南路街道</v>
      </c>
      <c r="D652" s="3" t="str">
        <f>"天心阁社区"</f>
        <v>天心阁社区</v>
      </c>
      <c r="E652" s="3" t="str">
        <f t="shared" si="234"/>
        <v>140</v>
      </c>
      <c r="F652" s="3" t="str">
        <f t="shared" si="232"/>
        <v>100</v>
      </c>
      <c r="G652" s="3" t="str">
        <f>"一级"</f>
        <v>一级</v>
      </c>
    </row>
    <row r="653" customHeight="1" spans="1:7">
      <c r="A653" s="3" t="str">
        <f>"1852"</f>
        <v>1852</v>
      </c>
      <c r="B653" s="3" t="s">
        <v>112</v>
      </c>
      <c r="C653" s="3" t="str">
        <f>"赤岭路街道"</f>
        <v>赤岭路街道</v>
      </c>
      <c r="D653" s="3" t="str">
        <f>"芙蓉南路社区"</f>
        <v>芙蓉南路社区</v>
      </c>
      <c r="E653" s="3" t="str">
        <f t="shared" si="234"/>
        <v>140</v>
      </c>
      <c r="F653" s="3" t="str">
        <f t="shared" si="232"/>
        <v>100</v>
      </c>
      <c r="G653" s="3" t="str">
        <f t="shared" ref="G653:G657" si="237">"二级"</f>
        <v>二级</v>
      </c>
    </row>
    <row r="654" customHeight="1" spans="1:7">
      <c r="A654" s="3" t="str">
        <f>"1853"</f>
        <v>1853</v>
      </c>
      <c r="B654" s="3" t="s">
        <v>396</v>
      </c>
      <c r="C654" s="3" t="str">
        <f>"裕南街街道"</f>
        <v>裕南街街道</v>
      </c>
      <c r="D654" s="3" t="str">
        <f>"长坡社区"</f>
        <v>长坡社区</v>
      </c>
      <c r="E654" s="3" t="str">
        <f t="shared" si="234"/>
        <v>140</v>
      </c>
      <c r="F654" s="3" t="str">
        <f t="shared" si="232"/>
        <v>100</v>
      </c>
      <c r="G654" s="3" t="str">
        <f t="shared" si="237"/>
        <v>二级</v>
      </c>
    </row>
    <row r="655" customHeight="1" spans="1:7">
      <c r="A655" s="3" t="str">
        <f>"1854"</f>
        <v>1854</v>
      </c>
      <c r="B655" s="3" t="s">
        <v>140</v>
      </c>
      <c r="C655" s="3" t="str">
        <f>"新开铺街道"</f>
        <v>新开铺街道</v>
      </c>
      <c r="D655" s="3" t="str">
        <f>"新天社区"</f>
        <v>新天社区</v>
      </c>
      <c r="E655" s="3" t="str">
        <f t="shared" si="234"/>
        <v>140</v>
      </c>
      <c r="F655" s="3" t="str">
        <f t="shared" si="232"/>
        <v>100</v>
      </c>
      <c r="G655" s="3" t="str">
        <f t="shared" si="237"/>
        <v>二级</v>
      </c>
    </row>
    <row r="656" customHeight="1" spans="1:7">
      <c r="A656" s="3" t="str">
        <f>"1855"</f>
        <v>1855</v>
      </c>
      <c r="B656" s="3" t="s">
        <v>957</v>
      </c>
      <c r="C656" s="3" t="str">
        <f>"坡子街街道"</f>
        <v>坡子街街道</v>
      </c>
      <c r="D656" s="3" t="str">
        <f>"坡子街社区"</f>
        <v>坡子街社区</v>
      </c>
      <c r="E656" s="3" t="str">
        <f t="shared" si="234"/>
        <v>140</v>
      </c>
      <c r="F656" s="3" t="str">
        <f t="shared" si="232"/>
        <v>100</v>
      </c>
      <c r="G656" s="3" t="str">
        <f t="shared" si="237"/>
        <v>二级</v>
      </c>
    </row>
    <row r="657" customHeight="1" spans="1:7">
      <c r="A657" s="3" t="str">
        <f>"1856"</f>
        <v>1856</v>
      </c>
      <c r="B657" s="3" t="s">
        <v>1321</v>
      </c>
      <c r="C657" s="3" t="str">
        <f>"黑石铺街道"</f>
        <v>黑石铺街道</v>
      </c>
      <c r="D657" s="3" t="str">
        <f>"一力社区"</f>
        <v>一力社区</v>
      </c>
      <c r="E657" s="3" t="str">
        <f t="shared" si="234"/>
        <v>140</v>
      </c>
      <c r="F657" s="3" t="str">
        <f t="shared" si="232"/>
        <v>100</v>
      </c>
      <c r="G657" s="3" t="str">
        <f t="shared" si="237"/>
        <v>二级</v>
      </c>
    </row>
    <row r="658" customHeight="1" spans="1:7">
      <c r="A658" s="3" t="str">
        <f>"1857"</f>
        <v>1857</v>
      </c>
      <c r="B658" s="3" t="s">
        <v>1322</v>
      </c>
      <c r="C658" s="3" t="str">
        <f>"金盆岭街道"</f>
        <v>金盆岭街道</v>
      </c>
      <c r="D658" s="3" t="str">
        <f>"赤岭路社区"</f>
        <v>赤岭路社区</v>
      </c>
      <c r="E658" s="3" t="str">
        <f t="shared" si="234"/>
        <v>140</v>
      </c>
      <c r="F658" s="3" t="str">
        <f t="shared" si="232"/>
        <v>100</v>
      </c>
      <c r="G658" s="3" t="str">
        <f>"一级"</f>
        <v>一级</v>
      </c>
    </row>
    <row r="659" customHeight="1" spans="1:7">
      <c r="A659" s="3" t="str">
        <f>"1858"</f>
        <v>1858</v>
      </c>
      <c r="B659" s="3" t="s">
        <v>1323</v>
      </c>
      <c r="C659" s="3" t="str">
        <f t="shared" ref="C659:C664" si="238">"裕南街街道"</f>
        <v>裕南街街道</v>
      </c>
      <c r="D659" s="3" t="str">
        <f>"火把山社区"</f>
        <v>火把山社区</v>
      </c>
      <c r="E659" s="3" t="str">
        <f t="shared" si="234"/>
        <v>140</v>
      </c>
      <c r="F659" s="3" t="str">
        <f t="shared" si="232"/>
        <v>100</v>
      </c>
      <c r="G659" s="3" t="str">
        <f t="shared" ref="G659:G661" si="239">"二级"</f>
        <v>二级</v>
      </c>
    </row>
    <row r="660" customHeight="1" spans="1:7">
      <c r="A660" s="3" t="str">
        <f>"1859"</f>
        <v>1859</v>
      </c>
      <c r="B660" s="3" t="s">
        <v>1324</v>
      </c>
      <c r="C660" s="3" t="str">
        <f>"城南路街道"</f>
        <v>城南路街道</v>
      </c>
      <c r="D660" s="3" t="str">
        <f>"城南中路社区"</f>
        <v>城南中路社区</v>
      </c>
      <c r="E660" s="3" t="str">
        <f t="shared" si="234"/>
        <v>140</v>
      </c>
      <c r="F660" s="3" t="str">
        <f t="shared" si="232"/>
        <v>100</v>
      </c>
      <c r="G660" s="3" t="str">
        <f t="shared" si="239"/>
        <v>二级</v>
      </c>
    </row>
    <row r="661" customHeight="1" spans="1:7">
      <c r="A661" s="3" t="str">
        <f>"1860"</f>
        <v>1860</v>
      </c>
      <c r="B661" s="3" t="s">
        <v>1325</v>
      </c>
      <c r="C661" s="3" t="str">
        <f>"赤岭路街道"</f>
        <v>赤岭路街道</v>
      </c>
      <c r="D661" s="3" t="str">
        <f>"南大桥社区"</f>
        <v>南大桥社区</v>
      </c>
      <c r="E661" s="3" t="str">
        <f t="shared" si="234"/>
        <v>140</v>
      </c>
      <c r="F661" s="3" t="str">
        <f t="shared" si="232"/>
        <v>100</v>
      </c>
      <c r="G661" s="3" t="str">
        <f t="shared" si="239"/>
        <v>二级</v>
      </c>
    </row>
    <row r="662" customHeight="1" spans="1:7">
      <c r="A662" s="3" t="str">
        <f>"1861"</f>
        <v>1861</v>
      </c>
      <c r="B662" s="3" t="s">
        <v>1326</v>
      </c>
      <c r="C662" s="3" t="str">
        <f>"金盆岭街道"</f>
        <v>金盆岭街道</v>
      </c>
      <c r="D662" s="3" t="str">
        <f>"赤岭路社区"</f>
        <v>赤岭路社区</v>
      </c>
      <c r="E662" s="3" t="str">
        <f t="shared" si="234"/>
        <v>140</v>
      </c>
      <c r="F662" s="3" t="str">
        <f t="shared" si="232"/>
        <v>100</v>
      </c>
      <c r="G662" s="3" t="str">
        <f>"一级"</f>
        <v>一级</v>
      </c>
    </row>
    <row r="663" customHeight="1" spans="1:7">
      <c r="A663" s="3" t="str">
        <f>"1862"</f>
        <v>1862</v>
      </c>
      <c r="B663" s="3" t="s">
        <v>1327</v>
      </c>
      <c r="C663" s="3" t="str">
        <f t="shared" si="238"/>
        <v>裕南街街道</v>
      </c>
      <c r="D663" s="3" t="str">
        <f>"火把山社区"</f>
        <v>火把山社区</v>
      </c>
      <c r="E663" s="3" t="str">
        <f t="shared" si="234"/>
        <v>140</v>
      </c>
      <c r="F663" s="3" t="str">
        <f t="shared" si="232"/>
        <v>100</v>
      </c>
      <c r="G663" s="3" t="str">
        <f t="shared" ref="G663:G667" si="240">"二级"</f>
        <v>二级</v>
      </c>
    </row>
    <row r="664" customHeight="1" spans="1:7">
      <c r="A664" s="3" t="str">
        <f>"1863"</f>
        <v>1863</v>
      </c>
      <c r="B664" s="3" t="s">
        <v>70</v>
      </c>
      <c r="C664" s="3" t="str">
        <f t="shared" si="238"/>
        <v>裕南街街道</v>
      </c>
      <c r="D664" s="3" t="str">
        <f>"东瓜山社区"</f>
        <v>东瓜山社区</v>
      </c>
      <c r="E664" s="3" t="str">
        <f t="shared" si="234"/>
        <v>140</v>
      </c>
      <c r="F664" s="3" t="str">
        <f t="shared" si="232"/>
        <v>100</v>
      </c>
      <c r="G664" s="3" t="str">
        <f t="shared" ref="G664:G669" si="241">"一级"</f>
        <v>一级</v>
      </c>
    </row>
    <row r="665" customHeight="1" spans="1:7">
      <c r="A665" s="3" t="str">
        <f>"1864"</f>
        <v>1864</v>
      </c>
      <c r="B665" s="3" t="s">
        <v>1328</v>
      </c>
      <c r="C665" s="3" t="str">
        <f>"暮云街道"</f>
        <v>暮云街道</v>
      </c>
      <c r="D665" s="3" t="str">
        <f>"暮云社区"</f>
        <v>暮云社区</v>
      </c>
      <c r="E665" s="3" t="str">
        <f t="shared" si="234"/>
        <v>140</v>
      </c>
      <c r="F665" s="3" t="str">
        <f t="shared" si="232"/>
        <v>100</v>
      </c>
      <c r="G665" s="3" t="str">
        <f t="shared" si="240"/>
        <v>二级</v>
      </c>
    </row>
    <row r="666" customHeight="1" spans="1:7">
      <c r="A666" s="3" t="str">
        <f>"1865"</f>
        <v>1865</v>
      </c>
      <c r="B666" s="3" t="s">
        <v>1329</v>
      </c>
      <c r="C666" s="3" t="str">
        <f>"黑石铺街道"</f>
        <v>黑石铺街道</v>
      </c>
      <c r="D666" s="3" t="str">
        <f>"一力社区"</f>
        <v>一力社区</v>
      </c>
      <c r="E666" s="3" t="str">
        <f t="shared" si="234"/>
        <v>140</v>
      </c>
      <c r="F666" s="3" t="str">
        <f t="shared" si="232"/>
        <v>100</v>
      </c>
      <c r="G666" s="3" t="str">
        <f t="shared" si="240"/>
        <v>二级</v>
      </c>
    </row>
    <row r="667" customHeight="1" spans="1:7">
      <c r="A667" s="3" t="str">
        <f>"1866"</f>
        <v>1866</v>
      </c>
      <c r="B667" s="3" t="s">
        <v>1330</v>
      </c>
      <c r="C667" s="3" t="str">
        <f>"新开铺街道"</f>
        <v>新开铺街道</v>
      </c>
      <c r="D667" s="3" t="str">
        <f>"新开铺社区"</f>
        <v>新开铺社区</v>
      </c>
      <c r="E667" s="3" t="str">
        <f t="shared" si="234"/>
        <v>140</v>
      </c>
      <c r="F667" s="3" t="str">
        <f t="shared" si="232"/>
        <v>100</v>
      </c>
      <c r="G667" s="3" t="str">
        <f t="shared" si="240"/>
        <v>二级</v>
      </c>
    </row>
    <row r="668" customHeight="1" spans="1:7">
      <c r="A668" s="3" t="str">
        <f>"1867"</f>
        <v>1867</v>
      </c>
      <c r="B668" s="3" t="s">
        <v>1331</v>
      </c>
      <c r="C668" s="3" t="str">
        <f>"赤岭路街道"</f>
        <v>赤岭路街道</v>
      </c>
      <c r="D668" s="3" t="str">
        <f>"南大桥社区"</f>
        <v>南大桥社区</v>
      </c>
      <c r="E668" s="3" t="str">
        <f t="shared" si="234"/>
        <v>140</v>
      </c>
      <c r="F668" s="3" t="str">
        <f t="shared" si="232"/>
        <v>100</v>
      </c>
      <c r="G668" s="3" t="str">
        <f t="shared" si="241"/>
        <v>一级</v>
      </c>
    </row>
    <row r="669" customHeight="1" spans="1:7">
      <c r="A669" s="3" t="str">
        <f>"1868"</f>
        <v>1868</v>
      </c>
      <c r="B669" s="3" t="s">
        <v>1332</v>
      </c>
      <c r="C669" s="3" t="str">
        <f>"文源街道"</f>
        <v>文源街道</v>
      </c>
      <c r="D669" s="3" t="str">
        <f>"天鸿社区"</f>
        <v>天鸿社区</v>
      </c>
      <c r="E669" s="3" t="str">
        <f t="shared" si="234"/>
        <v>140</v>
      </c>
      <c r="F669" s="3" t="str">
        <f t="shared" si="232"/>
        <v>100</v>
      </c>
      <c r="G669" s="3" t="str">
        <f t="shared" si="241"/>
        <v>一级</v>
      </c>
    </row>
    <row r="670" customHeight="1" spans="1:7">
      <c r="A670" s="3" t="str">
        <f>"1869"</f>
        <v>1869</v>
      </c>
      <c r="B670" s="3" t="s">
        <v>1044</v>
      </c>
      <c r="C670" s="3" t="str">
        <f t="shared" ref="C670:C674" si="242">"坡子街街道"</f>
        <v>坡子街街道</v>
      </c>
      <c r="D670" s="3" t="str">
        <f>"文庙坪社区"</f>
        <v>文庙坪社区</v>
      </c>
      <c r="E670" s="3" t="str">
        <f t="shared" si="234"/>
        <v>140</v>
      </c>
      <c r="F670" s="3" t="str">
        <f t="shared" si="232"/>
        <v>100</v>
      </c>
      <c r="G670" s="3" t="str">
        <f>"二级"</f>
        <v>二级</v>
      </c>
    </row>
    <row r="671" customHeight="1" spans="1:7">
      <c r="A671" s="3" t="str">
        <f>"1870"</f>
        <v>1870</v>
      </c>
      <c r="B671" s="3" t="s">
        <v>1333</v>
      </c>
      <c r="C671" s="3" t="str">
        <f t="shared" si="242"/>
        <v>坡子街街道</v>
      </c>
      <c r="D671" s="3" t="str">
        <f>"登仁桥社区"</f>
        <v>登仁桥社区</v>
      </c>
      <c r="E671" s="3" t="str">
        <f t="shared" si="234"/>
        <v>140</v>
      </c>
      <c r="F671" s="3" t="str">
        <f t="shared" si="232"/>
        <v>100</v>
      </c>
      <c r="G671" s="3" t="str">
        <f t="shared" ref="G671:G674" si="243">"一级"</f>
        <v>一级</v>
      </c>
    </row>
    <row r="672" customHeight="1" spans="1:7">
      <c r="A672" s="3" t="str">
        <f>"1871"</f>
        <v>1871</v>
      </c>
      <c r="B672" s="3" t="s">
        <v>1334</v>
      </c>
      <c r="C672" s="3" t="str">
        <f t="shared" si="242"/>
        <v>坡子街街道</v>
      </c>
      <c r="D672" s="3" t="str">
        <f>"文庙坪社区"</f>
        <v>文庙坪社区</v>
      </c>
      <c r="E672" s="3" t="str">
        <f t="shared" si="234"/>
        <v>140</v>
      </c>
      <c r="F672" s="3" t="str">
        <f t="shared" si="232"/>
        <v>100</v>
      </c>
      <c r="G672" s="3" t="str">
        <f t="shared" si="243"/>
        <v>一级</v>
      </c>
    </row>
    <row r="673" customHeight="1" spans="1:7">
      <c r="A673" s="3" t="str">
        <f>"1872"</f>
        <v>1872</v>
      </c>
      <c r="B673" s="3" t="s">
        <v>1335</v>
      </c>
      <c r="C673" s="3" t="str">
        <f t="shared" si="242"/>
        <v>坡子街街道</v>
      </c>
      <c r="D673" s="3" t="str">
        <f>"西牌楼社区"</f>
        <v>西牌楼社区</v>
      </c>
      <c r="E673" s="3" t="str">
        <f t="shared" si="234"/>
        <v>140</v>
      </c>
      <c r="F673" s="3" t="str">
        <f t="shared" si="232"/>
        <v>100</v>
      </c>
      <c r="G673" s="3" t="str">
        <f t="shared" si="243"/>
        <v>一级</v>
      </c>
    </row>
    <row r="674" customHeight="1" spans="1:7">
      <c r="A674" s="3" t="str">
        <f>"1873"</f>
        <v>1873</v>
      </c>
      <c r="B674" s="3" t="s">
        <v>1336</v>
      </c>
      <c r="C674" s="3" t="str">
        <f t="shared" si="242"/>
        <v>坡子街街道</v>
      </c>
      <c r="D674" s="3" t="str">
        <f>"坡子街社区"</f>
        <v>坡子街社区</v>
      </c>
      <c r="E674" s="3" t="str">
        <f t="shared" si="234"/>
        <v>140</v>
      </c>
      <c r="F674" s="3" t="str">
        <f t="shared" si="232"/>
        <v>100</v>
      </c>
      <c r="G674" s="3" t="str">
        <f t="shared" si="243"/>
        <v>一级</v>
      </c>
    </row>
    <row r="675" customHeight="1" spans="1:7">
      <c r="A675" s="3" t="str">
        <f>"1874"</f>
        <v>1874</v>
      </c>
      <c r="B675" s="3" t="s">
        <v>68</v>
      </c>
      <c r="C675" s="3" t="str">
        <f>"裕南街街道"</f>
        <v>裕南街街道</v>
      </c>
      <c r="D675" s="3" t="str">
        <f>"杏花园社区"</f>
        <v>杏花园社区</v>
      </c>
      <c r="E675" s="3" t="str">
        <f t="shared" si="234"/>
        <v>140</v>
      </c>
      <c r="F675" s="3" t="str">
        <f t="shared" si="232"/>
        <v>100</v>
      </c>
      <c r="G675" s="3" t="str">
        <f t="shared" ref="G675:G680" si="244">"二级"</f>
        <v>二级</v>
      </c>
    </row>
    <row r="676" customHeight="1" spans="1:7">
      <c r="A676" s="3" t="str">
        <f>"1875"</f>
        <v>1875</v>
      </c>
      <c r="B676" s="3" t="s">
        <v>1337</v>
      </c>
      <c r="C676" s="3" t="str">
        <f>"赤岭路街道"</f>
        <v>赤岭路街道</v>
      </c>
      <c r="D676" s="3" t="str">
        <f>"广厦新村社区"</f>
        <v>广厦新村社区</v>
      </c>
      <c r="E676" s="3" t="str">
        <f t="shared" si="234"/>
        <v>140</v>
      </c>
      <c r="F676" s="3" t="str">
        <f t="shared" si="232"/>
        <v>100</v>
      </c>
      <c r="G676" s="3" t="str">
        <f t="shared" ref="G676:G678" si="245">"一级"</f>
        <v>一级</v>
      </c>
    </row>
    <row r="677" customHeight="1" spans="1:7">
      <c r="A677" s="3" t="str">
        <f>"1876"</f>
        <v>1876</v>
      </c>
      <c r="B677" s="3" t="s">
        <v>897</v>
      </c>
      <c r="C677" s="3" t="str">
        <f>"新开铺街道"</f>
        <v>新开铺街道</v>
      </c>
      <c r="D677" s="3" t="str">
        <f>"新开铺社区"</f>
        <v>新开铺社区</v>
      </c>
      <c r="E677" s="3" t="str">
        <f t="shared" si="234"/>
        <v>140</v>
      </c>
      <c r="F677" s="3" t="str">
        <f t="shared" si="232"/>
        <v>100</v>
      </c>
      <c r="G677" s="3" t="str">
        <f t="shared" si="245"/>
        <v>一级</v>
      </c>
    </row>
    <row r="678" customHeight="1" spans="1:7">
      <c r="A678" s="3" t="str">
        <f>"1877"</f>
        <v>1877</v>
      </c>
      <c r="B678" s="3" t="s">
        <v>712</v>
      </c>
      <c r="C678" s="3" t="str">
        <f>"暮云街道"</f>
        <v>暮云街道</v>
      </c>
      <c r="D678" s="3" t="str">
        <f>"丽发社区"</f>
        <v>丽发社区</v>
      </c>
      <c r="E678" s="3" t="str">
        <f t="shared" si="234"/>
        <v>140</v>
      </c>
      <c r="F678" s="3" t="str">
        <f t="shared" si="232"/>
        <v>100</v>
      </c>
      <c r="G678" s="3" t="str">
        <f t="shared" si="245"/>
        <v>一级</v>
      </c>
    </row>
    <row r="679" customHeight="1" spans="1:7">
      <c r="A679" s="3" t="str">
        <f>"1878"</f>
        <v>1878</v>
      </c>
      <c r="B679" s="3" t="s">
        <v>1338</v>
      </c>
      <c r="C679" s="3" t="str">
        <f>"坡子街街道"</f>
        <v>坡子街街道</v>
      </c>
      <c r="D679" s="3" t="str">
        <f>"西牌楼社区"</f>
        <v>西牌楼社区</v>
      </c>
      <c r="E679" s="3" t="str">
        <f t="shared" si="234"/>
        <v>140</v>
      </c>
      <c r="F679" s="3" t="str">
        <f t="shared" si="232"/>
        <v>100</v>
      </c>
      <c r="G679" s="3" t="str">
        <f t="shared" si="244"/>
        <v>二级</v>
      </c>
    </row>
    <row r="680" customHeight="1" spans="1:7">
      <c r="A680" s="3" t="str">
        <f>"1879"</f>
        <v>1879</v>
      </c>
      <c r="B680" s="3" t="s">
        <v>826</v>
      </c>
      <c r="C680" s="3" t="str">
        <f>"金盆岭街道"</f>
        <v>金盆岭街道</v>
      </c>
      <c r="D680" s="3" t="str">
        <f>"黄土岭社区"</f>
        <v>黄土岭社区</v>
      </c>
      <c r="E680" s="3" t="str">
        <f t="shared" si="234"/>
        <v>140</v>
      </c>
      <c r="F680" s="3" t="str">
        <f t="shared" si="232"/>
        <v>100</v>
      </c>
      <c r="G680" s="3" t="str">
        <f t="shared" si="244"/>
        <v>二级</v>
      </c>
    </row>
    <row r="681" customHeight="1" spans="1:7">
      <c r="A681" s="3" t="str">
        <f>"1880"</f>
        <v>1880</v>
      </c>
      <c r="B681" s="3" t="s">
        <v>1339</v>
      </c>
      <c r="C681" s="3" t="str">
        <f>"坡子街街道"</f>
        <v>坡子街街道</v>
      </c>
      <c r="D681" s="3" t="str">
        <f>"八角亭社区"</f>
        <v>八角亭社区</v>
      </c>
      <c r="E681" s="3" t="str">
        <f t="shared" si="234"/>
        <v>140</v>
      </c>
      <c r="F681" s="3" t="str">
        <f t="shared" si="232"/>
        <v>100</v>
      </c>
      <c r="G681" s="3" t="str">
        <f>"一级"</f>
        <v>一级</v>
      </c>
    </row>
    <row r="682" customHeight="1" spans="1:7">
      <c r="A682" s="3" t="str">
        <f>"1881"</f>
        <v>1881</v>
      </c>
      <c r="B682" s="3" t="s">
        <v>1340</v>
      </c>
      <c r="C682" s="3" t="str">
        <f>"南托街道"</f>
        <v>南托街道</v>
      </c>
      <c r="D682" s="3" t="str">
        <f>"滨洲新村"</f>
        <v>滨洲新村</v>
      </c>
      <c r="E682" s="3" t="str">
        <f t="shared" si="234"/>
        <v>140</v>
      </c>
      <c r="F682" s="3" t="str">
        <f t="shared" si="232"/>
        <v>100</v>
      </c>
      <c r="G682" s="3" t="str">
        <f t="shared" ref="G682:G692" si="246">"二级"</f>
        <v>二级</v>
      </c>
    </row>
    <row r="683" customHeight="1" spans="1:7">
      <c r="A683" s="3" t="str">
        <f>"1882"</f>
        <v>1882</v>
      </c>
      <c r="B683" s="3" t="s">
        <v>1341</v>
      </c>
      <c r="C683" s="3" t="str">
        <f>"金盆岭街道"</f>
        <v>金盆岭街道</v>
      </c>
      <c r="D683" s="3" t="str">
        <f>"赤岭路社区"</f>
        <v>赤岭路社区</v>
      </c>
      <c r="E683" s="3" t="str">
        <f t="shared" si="234"/>
        <v>140</v>
      </c>
      <c r="F683" s="3" t="str">
        <f t="shared" si="232"/>
        <v>100</v>
      </c>
      <c r="G683" s="3" t="str">
        <f t="shared" si="246"/>
        <v>二级</v>
      </c>
    </row>
    <row r="684" customHeight="1" spans="1:7">
      <c r="A684" s="3" t="str">
        <f>"1883"</f>
        <v>1883</v>
      </c>
      <c r="B684" s="3" t="s">
        <v>1342</v>
      </c>
      <c r="C684" s="3" t="str">
        <f>"文源街道"</f>
        <v>文源街道</v>
      </c>
      <c r="D684" s="3" t="str">
        <f>"梅岭社区"</f>
        <v>梅岭社区</v>
      </c>
      <c r="E684" s="3" t="str">
        <f t="shared" si="234"/>
        <v>140</v>
      </c>
      <c r="F684" s="3" t="str">
        <f t="shared" si="232"/>
        <v>100</v>
      </c>
      <c r="G684" s="3" t="str">
        <f>"一级"</f>
        <v>一级</v>
      </c>
    </row>
    <row r="685" customHeight="1" spans="1:7">
      <c r="A685" s="3" t="str">
        <f>"1884"</f>
        <v>1884</v>
      </c>
      <c r="B685" s="3" t="s">
        <v>1343</v>
      </c>
      <c r="C685" s="3" t="str">
        <f>"青园街道"</f>
        <v>青园街道</v>
      </c>
      <c r="D685" s="3" t="str">
        <f>"青园社区"</f>
        <v>青园社区</v>
      </c>
      <c r="E685" s="3" t="str">
        <f t="shared" si="234"/>
        <v>140</v>
      </c>
      <c r="F685" s="3" t="str">
        <f t="shared" si="232"/>
        <v>100</v>
      </c>
      <c r="G685" s="3" t="str">
        <f t="shared" si="246"/>
        <v>二级</v>
      </c>
    </row>
    <row r="686" customHeight="1" spans="1:7">
      <c r="A686" s="3" t="str">
        <f>"1885"</f>
        <v>1885</v>
      </c>
      <c r="B686" s="3" t="s">
        <v>1344</v>
      </c>
      <c r="C686" s="3" t="str">
        <f>"新开铺街道"</f>
        <v>新开铺街道</v>
      </c>
      <c r="D686" s="3" t="str">
        <f>"新天社区"</f>
        <v>新天社区</v>
      </c>
      <c r="E686" s="3" t="str">
        <f t="shared" si="234"/>
        <v>140</v>
      </c>
      <c r="F686" s="3" t="str">
        <f t="shared" si="232"/>
        <v>100</v>
      </c>
      <c r="G686" s="3" t="str">
        <f t="shared" si="246"/>
        <v>二级</v>
      </c>
    </row>
    <row r="687" customHeight="1" spans="1:7">
      <c r="A687" s="3" t="str">
        <f>"1886"</f>
        <v>1886</v>
      </c>
      <c r="B687" s="3" t="s">
        <v>451</v>
      </c>
      <c r="C687" s="3" t="str">
        <f t="shared" ref="C687:C692" si="247">"裕南街街道"</f>
        <v>裕南街街道</v>
      </c>
      <c r="D687" s="3" t="str">
        <f>"仰天湖社区"</f>
        <v>仰天湖社区</v>
      </c>
      <c r="E687" s="3" t="str">
        <f t="shared" si="234"/>
        <v>140</v>
      </c>
      <c r="F687" s="3" t="str">
        <f t="shared" si="232"/>
        <v>100</v>
      </c>
      <c r="G687" s="3" t="str">
        <f t="shared" si="246"/>
        <v>二级</v>
      </c>
    </row>
    <row r="688" customHeight="1" spans="1:7">
      <c r="A688" s="3" t="str">
        <f>"1887"</f>
        <v>1887</v>
      </c>
      <c r="B688" s="3" t="s">
        <v>1345</v>
      </c>
      <c r="C688" s="3" t="str">
        <f>"青园街道"</f>
        <v>青园街道</v>
      </c>
      <c r="D688" s="3" t="str">
        <f>"青园社区"</f>
        <v>青园社区</v>
      </c>
      <c r="E688" s="3" t="str">
        <f t="shared" si="234"/>
        <v>140</v>
      </c>
      <c r="F688" s="3" t="str">
        <f t="shared" si="232"/>
        <v>100</v>
      </c>
      <c r="G688" s="3" t="str">
        <f t="shared" si="246"/>
        <v>二级</v>
      </c>
    </row>
    <row r="689" customHeight="1" spans="1:7">
      <c r="A689" s="3" t="str">
        <f>"1888"</f>
        <v>1888</v>
      </c>
      <c r="B689" s="3" t="s">
        <v>1346</v>
      </c>
      <c r="C689" s="3" t="str">
        <f t="shared" si="247"/>
        <v>裕南街街道</v>
      </c>
      <c r="D689" s="3" t="str">
        <f>"宝塔山社区"</f>
        <v>宝塔山社区</v>
      </c>
      <c r="E689" s="3" t="str">
        <f t="shared" si="234"/>
        <v>140</v>
      </c>
      <c r="F689" s="3" t="str">
        <f t="shared" si="232"/>
        <v>100</v>
      </c>
      <c r="G689" s="3" t="str">
        <f t="shared" si="246"/>
        <v>二级</v>
      </c>
    </row>
    <row r="690" customHeight="1" spans="1:7">
      <c r="A690" s="3" t="str">
        <f>"1889"</f>
        <v>1889</v>
      </c>
      <c r="B690" s="3" t="s">
        <v>80</v>
      </c>
      <c r="C690" s="3" t="str">
        <f t="shared" si="247"/>
        <v>裕南街街道</v>
      </c>
      <c r="D690" s="3" t="str">
        <f>"南站社区"</f>
        <v>南站社区</v>
      </c>
      <c r="E690" s="3" t="str">
        <f t="shared" si="234"/>
        <v>140</v>
      </c>
      <c r="F690" s="3" t="str">
        <f t="shared" si="232"/>
        <v>100</v>
      </c>
      <c r="G690" s="3" t="str">
        <f t="shared" si="246"/>
        <v>二级</v>
      </c>
    </row>
    <row r="691" customHeight="1" spans="1:7">
      <c r="A691" s="3" t="str">
        <f>"1890"</f>
        <v>1890</v>
      </c>
      <c r="B691" s="3" t="s">
        <v>502</v>
      </c>
      <c r="C691" s="3" t="str">
        <f t="shared" si="247"/>
        <v>裕南街街道</v>
      </c>
      <c r="D691" s="3" t="str">
        <f>"杏花园社区"</f>
        <v>杏花园社区</v>
      </c>
      <c r="E691" s="3" t="str">
        <f t="shared" si="234"/>
        <v>140</v>
      </c>
      <c r="F691" s="3" t="str">
        <f t="shared" si="232"/>
        <v>100</v>
      </c>
      <c r="G691" s="3" t="str">
        <f t="shared" si="246"/>
        <v>二级</v>
      </c>
    </row>
    <row r="692" customHeight="1" spans="1:7">
      <c r="A692" s="3" t="str">
        <f>"1891"</f>
        <v>1891</v>
      </c>
      <c r="B692" s="3" t="s">
        <v>80</v>
      </c>
      <c r="C692" s="3" t="str">
        <f t="shared" si="247"/>
        <v>裕南街街道</v>
      </c>
      <c r="D692" s="3" t="str">
        <f>"南站社区"</f>
        <v>南站社区</v>
      </c>
      <c r="E692" s="3" t="str">
        <f t="shared" si="234"/>
        <v>140</v>
      </c>
      <c r="F692" s="3" t="str">
        <f t="shared" si="232"/>
        <v>100</v>
      </c>
      <c r="G692" s="3" t="str">
        <f t="shared" si="246"/>
        <v>二级</v>
      </c>
    </row>
    <row r="693" customHeight="1" spans="1:7">
      <c r="A693" s="3" t="str">
        <f>"1892"</f>
        <v>1892</v>
      </c>
      <c r="B693" s="3" t="s">
        <v>1347</v>
      </c>
      <c r="C693" s="3" t="str">
        <f>"赤岭路街道"</f>
        <v>赤岭路街道</v>
      </c>
      <c r="D693" s="3" t="str">
        <f>"南大桥社区"</f>
        <v>南大桥社区</v>
      </c>
      <c r="E693" s="3" t="str">
        <f t="shared" si="234"/>
        <v>140</v>
      </c>
      <c r="F693" s="3" t="str">
        <f t="shared" si="232"/>
        <v>100</v>
      </c>
      <c r="G693" s="3" t="str">
        <f>"一级"</f>
        <v>一级</v>
      </c>
    </row>
    <row r="694" customHeight="1" spans="1:7">
      <c r="A694" s="3" t="str">
        <f>"1893"</f>
        <v>1893</v>
      </c>
      <c r="B694" s="3" t="s">
        <v>1050</v>
      </c>
      <c r="C694" s="3" t="str">
        <f>"裕南街街道"</f>
        <v>裕南街街道</v>
      </c>
      <c r="D694" s="3" t="str">
        <f>"向东南社区"</f>
        <v>向东南社区</v>
      </c>
      <c r="E694" s="3" t="str">
        <f t="shared" si="234"/>
        <v>140</v>
      </c>
      <c r="F694" s="3" t="str">
        <f t="shared" si="232"/>
        <v>100</v>
      </c>
      <c r="G694" s="3" t="str">
        <f t="shared" ref="G694:G697" si="248">"二级"</f>
        <v>二级</v>
      </c>
    </row>
    <row r="695" customHeight="1" spans="1:7">
      <c r="A695" s="3" t="str">
        <f>"1894"</f>
        <v>1894</v>
      </c>
      <c r="B695" s="3" t="s">
        <v>1348</v>
      </c>
      <c r="C695" s="3" t="str">
        <f>"坡子街街道"</f>
        <v>坡子街街道</v>
      </c>
      <c r="D695" s="3" t="str">
        <f>"碧湘社区"</f>
        <v>碧湘社区</v>
      </c>
      <c r="E695" s="3" t="str">
        <f t="shared" si="234"/>
        <v>140</v>
      </c>
      <c r="F695" s="3" t="str">
        <f t="shared" si="232"/>
        <v>100</v>
      </c>
      <c r="G695" s="3" t="str">
        <f t="shared" si="248"/>
        <v>二级</v>
      </c>
    </row>
    <row r="696" customHeight="1" spans="1:7">
      <c r="A696" s="3" t="str">
        <f>"1895"</f>
        <v>1895</v>
      </c>
      <c r="B696" s="3" t="s">
        <v>1349</v>
      </c>
      <c r="C696" s="3" t="str">
        <f>"金盆岭街道"</f>
        <v>金盆岭街道</v>
      </c>
      <c r="D696" s="3" t="str">
        <f>"狮子山社区"</f>
        <v>狮子山社区</v>
      </c>
      <c r="E696" s="3" t="str">
        <f t="shared" si="234"/>
        <v>140</v>
      </c>
      <c r="F696" s="3" t="str">
        <f t="shared" si="232"/>
        <v>100</v>
      </c>
      <c r="G696" s="3" t="str">
        <f t="shared" si="248"/>
        <v>二级</v>
      </c>
    </row>
    <row r="697" customHeight="1" spans="1:7">
      <c r="A697" s="3" t="str">
        <f>"1896"</f>
        <v>1896</v>
      </c>
      <c r="B697" s="3" t="s">
        <v>1350</v>
      </c>
      <c r="C697" s="3" t="str">
        <f>"城南路街道"</f>
        <v>城南路街道</v>
      </c>
      <c r="D697" s="3" t="str">
        <f>"古道巷社区"</f>
        <v>古道巷社区</v>
      </c>
      <c r="E697" s="3" t="str">
        <f t="shared" si="234"/>
        <v>140</v>
      </c>
      <c r="F697" s="3" t="str">
        <f t="shared" si="232"/>
        <v>100</v>
      </c>
      <c r="G697" s="3" t="str">
        <f t="shared" si="248"/>
        <v>二级</v>
      </c>
    </row>
    <row r="698" customHeight="1" spans="1:7">
      <c r="A698" s="3" t="str">
        <f>"1897"</f>
        <v>1897</v>
      </c>
      <c r="B698" s="3" t="s">
        <v>1351</v>
      </c>
      <c r="C698" s="3" t="str">
        <f>"城南路街道"</f>
        <v>城南路街道</v>
      </c>
      <c r="D698" s="3" t="str">
        <f>"燕子岭社区"</f>
        <v>燕子岭社区</v>
      </c>
      <c r="E698" s="3" t="str">
        <f t="shared" si="234"/>
        <v>140</v>
      </c>
      <c r="F698" s="3" t="str">
        <f t="shared" si="232"/>
        <v>100</v>
      </c>
      <c r="G698" s="3" t="str">
        <f>"一级"</f>
        <v>一级</v>
      </c>
    </row>
    <row r="699" customHeight="1" spans="1:7">
      <c r="A699" s="3" t="str">
        <f>"1898"</f>
        <v>1898</v>
      </c>
      <c r="B699" s="3" t="s">
        <v>1352</v>
      </c>
      <c r="C699" s="3" t="str">
        <f>"金盆岭街道"</f>
        <v>金盆岭街道</v>
      </c>
      <c r="D699" s="3" t="str">
        <f>"天剑社区"</f>
        <v>天剑社区</v>
      </c>
      <c r="E699" s="3" t="str">
        <f t="shared" si="234"/>
        <v>140</v>
      </c>
      <c r="F699" s="3" t="str">
        <f t="shared" si="232"/>
        <v>100</v>
      </c>
      <c r="G699" s="3" t="str">
        <f t="shared" ref="G699:G704" si="249">"二级"</f>
        <v>二级</v>
      </c>
    </row>
    <row r="700" customHeight="1" spans="1:7">
      <c r="A700" s="3" t="str">
        <f>"1899"</f>
        <v>1899</v>
      </c>
      <c r="B700" s="3" t="s">
        <v>1353</v>
      </c>
      <c r="C700" s="3" t="str">
        <f t="shared" ref="C700:C704" si="250">"坡子街街道"</f>
        <v>坡子街街道</v>
      </c>
      <c r="D700" s="3" t="str">
        <f t="shared" ref="D700:D704" si="251">"登仁桥社区"</f>
        <v>登仁桥社区</v>
      </c>
      <c r="E700" s="3" t="str">
        <f t="shared" si="234"/>
        <v>140</v>
      </c>
      <c r="F700" s="3" t="str">
        <f t="shared" si="232"/>
        <v>100</v>
      </c>
      <c r="G700" s="3" t="str">
        <f t="shared" si="249"/>
        <v>二级</v>
      </c>
    </row>
    <row r="701" customHeight="1" spans="1:7">
      <c r="A701" s="3" t="str">
        <f>"1900"</f>
        <v>1900</v>
      </c>
      <c r="B701" s="3" t="s">
        <v>18</v>
      </c>
      <c r="C701" s="3" t="str">
        <f t="shared" si="250"/>
        <v>坡子街街道</v>
      </c>
      <c r="D701" s="3" t="str">
        <f>"西牌楼社区"</f>
        <v>西牌楼社区</v>
      </c>
      <c r="E701" s="3" t="str">
        <f t="shared" si="234"/>
        <v>140</v>
      </c>
      <c r="F701" s="3" t="str">
        <f t="shared" si="232"/>
        <v>100</v>
      </c>
      <c r="G701" s="3" t="str">
        <f t="shared" si="249"/>
        <v>二级</v>
      </c>
    </row>
    <row r="702" customHeight="1" spans="1:7">
      <c r="A702" s="3" t="str">
        <f>"1901"</f>
        <v>1901</v>
      </c>
      <c r="B702" s="3" t="s">
        <v>1354</v>
      </c>
      <c r="C702" s="3" t="str">
        <f t="shared" si="250"/>
        <v>坡子街街道</v>
      </c>
      <c r="D702" s="3" t="str">
        <f t="shared" si="251"/>
        <v>登仁桥社区</v>
      </c>
      <c r="E702" s="3" t="str">
        <f t="shared" si="234"/>
        <v>140</v>
      </c>
      <c r="F702" s="3" t="str">
        <f t="shared" si="232"/>
        <v>100</v>
      </c>
      <c r="G702" s="3" t="str">
        <f t="shared" si="249"/>
        <v>二级</v>
      </c>
    </row>
    <row r="703" customHeight="1" spans="1:7">
      <c r="A703" s="3" t="str">
        <f>"1902"</f>
        <v>1902</v>
      </c>
      <c r="B703" s="3" t="s">
        <v>1355</v>
      </c>
      <c r="C703" s="3" t="str">
        <f t="shared" si="250"/>
        <v>坡子街街道</v>
      </c>
      <c r="D703" s="3" t="str">
        <f>"坡子街社区"</f>
        <v>坡子街社区</v>
      </c>
      <c r="E703" s="3" t="str">
        <f t="shared" si="234"/>
        <v>140</v>
      </c>
      <c r="F703" s="3" t="str">
        <f t="shared" ref="F703:F766" si="252">"100"</f>
        <v>100</v>
      </c>
      <c r="G703" s="3" t="str">
        <f t="shared" si="249"/>
        <v>二级</v>
      </c>
    </row>
    <row r="704" customHeight="1" spans="1:7">
      <c r="A704" s="3" t="str">
        <f>"1903"</f>
        <v>1903</v>
      </c>
      <c r="B704" s="3" t="s">
        <v>1356</v>
      </c>
      <c r="C704" s="3" t="str">
        <f t="shared" si="250"/>
        <v>坡子街街道</v>
      </c>
      <c r="D704" s="3" t="str">
        <f t="shared" si="251"/>
        <v>登仁桥社区</v>
      </c>
      <c r="E704" s="3" t="str">
        <f t="shared" si="234"/>
        <v>140</v>
      </c>
      <c r="F704" s="3" t="str">
        <f t="shared" si="252"/>
        <v>100</v>
      </c>
      <c r="G704" s="3" t="str">
        <f t="shared" si="249"/>
        <v>二级</v>
      </c>
    </row>
    <row r="705" customHeight="1" spans="1:7">
      <c r="A705" s="3" t="str">
        <f>"1904"</f>
        <v>1904</v>
      </c>
      <c r="B705" s="3" t="s">
        <v>1357</v>
      </c>
      <c r="C705" s="3" t="str">
        <f>"城南路街道"</f>
        <v>城南路街道</v>
      </c>
      <c r="D705" s="3" t="str">
        <f>"古道巷社区"</f>
        <v>古道巷社区</v>
      </c>
      <c r="E705" s="3" t="str">
        <f t="shared" si="234"/>
        <v>140</v>
      </c>
      <c r="F705" s="3" t="str">
        <f t="shared" si="252"/>
        <v>100</v>
      </c>
      <c r="G705" s="3" t="str">
        <f>"一级"</f>
        <v>一级</v>
      </c>
    </row>
    <row r="706" customHeight="1" spans="1:7">
      <c r="A706" s="3" t="str">
        <f>"1905"</f>
        <v>1905</v>
      </c>
      <c r="B706" s="3" t="s">
        <v>80</v>
      </c>
      <c r="C706" s="3" t="str">
        <f>"裕南街街道"</f>
        <v>裕南街街道</v>
      </c>
      <c r="D706" s="3" t="str">
        <f>"裕南街社区"</f>
        <v>裕南街社区</v>
      </c>
      <c r="E706" s="3" t="str">
        <f t="shared" ref="E706:E769" si="253">"140"</f>
        <v>140</v>
      </c>
      <c r="F706" s="3" t="str">
        <f t="shared" si="252"/>
        <v>100</v>
      </c>
      <c r="G706" s="3" t="str">
        <f t="shared" ref="G706:G709" si="254">"二级"</f>
        <v>二级</v>
      </c>
    </row>
    <row r="707" customHeight="1" spans="1:7">
      <c r="A707" s="3" t="str">
        <f>"1906"</f>
        <v>1906</v>
      </c>
      <c r="B707" s="3" t="s">
        <v>1358</v>
      </c>
      <c r="C707" s="3" t="str">
        <f>"裕南街街道"</f>
        <v>裕南街街道</v>
      </c>
      <c r="D707" s="3" t="str">
        <f>"向东南社区"</f>
        <v>向东南社区</v>
      </c>
      <c r="E707" s="3" t="str">
        <f t="shared" si="253"/>
        <v>140</v>
      </c>
      <c r="F707" s="3" t="str">
        <f t="shared" si="252"/>
        <v>100</v>
      </c>
      <c r="G707" s="3" t="str">
        <f t="shared" si="254"/>
        <v>二级</v>
      </c>
    </row>
    <row r="708" customHeight="1" spans="1:7">
      <c r="A708" s="3" t="str">
        <f>"1907"</f>
        <v>1907</v>
      </c>
      <c r="B708" s="3" t="s">
        <v>1359</v>
      </c>
      <c r="C708" s="3" t="str">
        <f>"坡子街街道"</f>
        <v>坡子街街道</v>
      </c>
      <c r="D708" s="3" t="str">
        <f>"八角亭社区"</f>
        <v>八角亭社区</v>
      </c>
      <c r="E708" s="3" t="str">
        <f t="shared" si="253"/>
        <v>140</v>
      </c>
      <c r="F708" s="3" t="str">
        <f t="shared" si="252"/>
        <v>100</v>
      </c>
      <c r="G708" s="3" t="str">
        <f t="shared" si="254"/>
        <v>二级</v>
      </c>
    </row>
    <row r="709" customHeight="1" spans="1:7">
      <c r="A709" s="3" t="str">
        <f>"1908"</f>
        <v>1908</v>
      </c>
      <c r="B709" s="3" t="s">
        <v>68</v>
      </c>
      <c r="C709" s="3" t="str">
        <f>"坡子街街道"</f>
        <v>坡子街街道</v>
      </c>
      <c r="D709" s="3" t="str">
        <f>"青山祠社区"</f>
        <v>青山祠社区</v>
      </c>
      <c r="E709" s="3" t="str">
        <f t="shared" si="253"/>
        <v>140</v>
      </c>
      <c r="F709" s="3" t="str">
        <f t="shared" si="252"/>
        <v>100</v>
      </c>
      <c r="G709" s="3" t="str">
        <f t="shared" si="254"/>
        <v>二级</v>
      </c>
    </row>
    <row r="710" customHeight="1" spans="1:7">
      <c r="A710" s="3" t="str">
        <f>"1909"</f>
        <v>1909</v>
      </c>
      <c r="B710" s="3" t="s">
        <v>717</v>
      </c>
      <c r="C710" s="3" t="str">
        <f>"城南路街道"</f>
        <v>城南路街道</v>
      </c>
      <c r="D710" s="3" t="str">
        <f>"古道巷社区"</f>
        <v>古道巷社区</v>
      </c>
      <c r="E710" s="3" t="str">
        <f t="shared" si="253"/>
        <v>140</v>
      </c>
      <c r="F710" s="3" t="str">
        <f t="shared" si="252"/>
        <v>100</v>
      </c>
      <c r="G710" s="3" t="str">
        <f>"一级"</f>
        <v>一级</v>
      </c>
    </row>
    <row r="711" customHeight="1" spans="1:7">
      <c r="A711" s="3" t="str">
        <f>"1910"</f>
        <v>1910</v>
      </c>
      <c r="B711" s="3" t="s">
        <v>1360</v>
      </c>
      <c r="C711" s="3" t="str">
        <f>"金盆岭街道"</f>
        <v>金盆岭街道</v>
      </c>
      <c r="D711" s="3" t="str">
        <f>"赤岭路社区"</f>
        <v>赤岭路社区</v>
      </c>
      <c r="E711" s="3" t="str">
        <f t="shared" si="253"/>
        <v>140</v>
      </c>
      <c r="F711" s="3" t="str">
        <f t="shared" si="252"/>
        <v>100</v>
      </c>
      <c r="G711" s="3" t="str">
        <f t="shared" ref="G711:G719" si="255">"二级"</f>
        <v>二级</v>
      </c>
    </row>
    <row r="712" customHeight="1" spans="1:7">
      <c r="A712" s="3" t="str">
        <f>"1911"</f>
        <v>1911</v>
      </c>
      <c r="B712" s="3" t="s">
        <v>125</v>
      </c>
      <c r="C712" s="3" t="str">
        <f t="shared" ref="C712:C716" si="256">"裕南街街道"</f>
        <v>裕南街街道</v>
      </c>
      <c r="D712" s="3" t="str">
        <f>"向东南社区"</f>
        <v>向东南社区</v>
      </c>
      <c r="E712" s="3" t="str">
        <f t="shared" si="253"/>
        <v>140</v>
      </c>
      <c r="F712" s="3" t="str">
        <f t="shared" si="252"/>
        <v>100</v>
      </c>
      <c r="G712" s="3" t="str">
        <f>"一级"</f>
        <v>一级</v>
      </c>
    </row>
    <row r="713" customHeight="1" spans="1:7">
      <c r="A713" s="3" t="str">
        <f>"1912"</f>
        <v>1912</v>
      </c>
      <c r="B713" s="3" t="s">
        <v>1361</v>
      </c>
      <c r="C713" s="3" t="str">
        <f>"金盆岭街道"</f>
        <v>金盆岭街道</v>
      </c>
      <c r="D713" s="3" t="str">
        <f>"黄土岭社区"</f>
        <v>黄土岭社区</v>
      </c>
      <c r="E713" s="3" t="str">
        <f t="shared" si="253"/>
        <v>140</v>
      </c>
      <c r="F713" s="3" t="str">
        <f t="shared" si="252"/>
        <v>100</v>
      </c>
      <c r="G713" s="3" t="str">
        <f t="shared" si="255"/>
        <v>二级</v>
      </c>
    </row>
    <row r="714" customHeight="1" spans="1:7">
      <c r="A714" s="3" t="str">
        <f>"1913"</f>
        <v>1913</v>
      </c>
      <c r="B714" s="3" t="s">
        <v>1362</v>
      </c>
      <c r="C714" s="3" t="str">
        <f t="shared" si="256"/>
        <v>裕南街街道</v>
      </c>
      <c r="D714" s="3" t="str">
        <f>"杏花园社区"</f>
        <v>杏花园社区</v>
      </c>
      <c r="E714" s="3" t="str">
        <f t="shared" si="253"/>
        <v>140</v>
      </c>
      <c r="F714" s="3" t="str">
        <f t="shared" si="252"/>
        <v>100</v>
      </c>
      <c r="G714" s="3" t="str">
        <f t="shared" si="255"/>
        <v>二级</v>
      </c>
    </row>
    <row r="715" customHeight="1" spans="1:7">
      <c r="A715" s="3" t="str">
        <f>"1914"</f>
        <v>1914</v>
      </c>
      <c r="B715" s="3" t="s">
        <v>1363</v>
      </c>
      <c r="C715" s="3" t="str">
        <f t="shared" si="256"/>
        <v>裕南街街道</v>
      </c>
      <c r="D715" s="3" t="str">
        <f>"东瓜山社区"</f>
        <v>东瓜山社区</v>
      </c>
      <c r="E715" s="3" t="str">
        <f t="shared" si="253"/>
        <v>140</v>
      </c>
      <c r="F715" s="3" t="str">
        <f t="shared" si="252"/>
        <v>100</v>
      </c>
      <c r="G715" s="3" t="str">
        <f t="shared" si="255"/>
        <v>二级</v>
      </c>
    </row>
    <row r="716" customHeight="1" spans="1:7">
      <c r="A716" s="3" t="str">
        <f>"1915"</f>
        <v>1915</v>
      </c>
      <c r="B716" s="3" t="s">
        <v>418</v>
      </c>
      <c r="C716" s="3" t="str">
        <f t="shared" si="256"/>
        <v>裕南街街道</v>
      </c>
      <c r="D716" s="3" t="str">
        <f>"裕南街社区"</f>
        <v>裕南街社区</v>
      </c>
      <c r="E716" s="3" t="str">
        <f t="shared" si="253"/>
        <v>140</v>
      </c>
      <c r="F716" s="3" t="str">
        <f t="shared" si="252"/>
        <v>100</v>
      </c>
      <c r="G716" s="3" t="str">
        <f t="shared" si="255"/>
        <v>二级</v>
      </c>
    </row>
    <row r="717" customHeight="1" spans="1:7">
      <c r="A717" s="3" t="str">
        <f>"1916"</f>
        <v>1916</v>
      </c>
      <c r="B717" s="3" t="s">
        <v>763</v>
      </c>
      <c r="C717" s="3" t="str">
        <f>"金盆岭街道"</f>
        <v>金盆岭街道</v>
      </c>
      <c r="D717" s="3" t="str">
        <f>"涂新社区"</f>
        <v>涂新社区</v>
      </c>
      <c r="E717" s="3" t="str">
        <f t="shared" si="253"/>
        <v>140</v>
      </c>
      <c r="F717" s="3" t="str">
        <f t="shared" si="252"/>
        <v>100</v>
      </c>
      <c r="G717" s="3" t="str">
        <f t="shared" si="255"/>
        <v>二级</v>
      </c>
    </row>
    <row r="718" customHeight="1" spans="1:7">
      <c r="A718" s="3" t="str">
        <f>"1917"</f>
        <v>1917</v>
      </c>
      <c r="B718" s="3" t="s">
        <v>139</v>
      </c>
      <c r="C718" s="3" t="str">
        <f t="shared" ref="C718:C723" si="257">"裕南街街道"</f>
        <v>裕南街街道</v>
      </c>
      <c r="D718" s="3" t="str">
        <f>"东瓜山社区"</f>
        <v>东瓜山社区</v>
      </c>
      <c r="E718" s="3" t="str">
        <f t="shared" si="253"/>
        <v>140</v>
      </c>
      <c r="F718" s="3" t="str">
        <f t="shared" si="252"/>
        <v>100</v>
      </c>
      <c r="G718" s="3" t="str">
        <f t="shared" si="255"/>
        <v>二级</v>
      </c>
    </row>
    <row r="719" customHeight="1" spans="1:7">
      <c r="A719" s="3" t="str">
        <f>"1918"</f>
        <v>1918</v>
      </c>
      <c r="B719" s="3" t="s">
        <v>68</v>
      </c>
      <c r="C719" s="3" t="str">
        <f t="shared" si="257"/>
        <v>裕南街街道</v>
      </c>
      <c r="D719" s="3" t="str">
        <f>"石子冲社区"</f>
        <v>石子冲社区</v>
      </c>
      <c r="E719" s="3" t="str">
        <f t="shared" si="253"/>
        <v>140</v>
      </c>
      <c r="F719" s="3" t="str">
        <f t="shared" si="252"/>
        <v>100</v>
      </c>
      <c r="G719" s="3" t="str">
        <f t="shared" si="255"/>
        <v>二级</v>
      </c>
    </row>
    <row r="720" customHeight="1" spans="1:7">
      <c r="A720" s="3" t="str">
        <f>"1919"</f>
        <v>1919</v>
      </c>
      <c r="B720" s="3" t="s">
        <v>331</v>
      </c>
      <c r="C720" s="3" t="str">
        <f>"城南路街道"</f>
        <v>城南路街道</v>
      </c>
      <c r="D720" s="3" t="str">
        <f>"天心阁社区"</f>
        <v>天心阁社区</v>
      </c>
      <c r="E720" s="3" t="str">
        <f t="shared" si="253"/>
        <v>140</v>
      </c>
      <c r="F720" s="3" t="str">
        <f t="shared" si="252"/>
        <v>100</v>
      </c>
      <c r="G720" s="3" t="str">
        <f>"一级"</f>
        <v>一级</v>
      </c>
    </row>
    <row r="721" customHeight="1" spans="1:7">
      <c r="A721" s="3" t="str">
        <f>"1920"</f>
        <v>1920</v>
      </c>
      <c r="B721" s="3" t="s">
        <v>139</v>
      </c>
      <c r="C721" s="3" t="str">
        <f>"金盆岭街道"</f>
        <v>金盆岭街道</v>
      </c>
      <c r="D721" s="3" t="str">
        <f>"赤岭路社区"</f>
        <v>赤岭路社区</v>
      </c>
      <c r="E721" s="3" t="str">
        <f t="shared" si="253"/>
        <v>140</v>
      </c>
      <c r="F721" s="3" t="str">
        <f t="shared" si="252"/>
        <v>100</v>
      </c>
      <c r="G721" s="3" t="str">
        <f t="shared" ref="G721:G728" si="258">"二级"</f>
        <v>二级</v>
      </c>
    </row>
    <row r="722" customHeight="1" spans="1:7">
      <c r="A722" s="3" t="str">
        <f>"1921"</f>
        <v>1921</v>
      </c>
      <c r="B722" s="3" t="s">
        <v>1364</v>
      </c>
      <c r="C722" s="3" t="str">
        <f>"青园街道"</f>
        <v>青园街道</v>
      </c>
      <c r="D722" s="3" t="str">
        <f>"井湾子社区"</f>
        <v>井湾子社区</v>
      </c>
      <c r="E722" s="3" t="str">
        <f t="shared" si="253"/>
        <v>140</v>
      </c>
      <c r="F722" s="3" t="str">
        <f t="shared" si="252"/>
        <v>100</v>
      </c>
      <c r="G722" s="3" t="str">
        <f t="shared" si="258"/>
        <v>二级</v>
      </c>
    </row>
    <row r="723" customHeight="1" spans="1:7">
      <c r="A723" s="3" t="str">
        <f>"1922"</f>
        <v>1922</v>
      </c>
      <c r="B723" s="3" t="s">
        <v>267</v>
      </c>
      <c r="C723" s="3" t="str">
        <f t="shared" si="257"/>
        <v>裕南街街道</v>
      </c>
      <c r="D723" s="3" t="str">
        <f>"宝塔山社区"</f>
        <v>宝塔山社区</v>
      </c>
      <c r="E723" s="3" t="str">
        <f t="shared" si="253"/>
        <v>140</v>
      </c>
      <c r="F723" s="3" t="str">
        <f t="shared" si="252"/>
        <v>100</v>
      </c>
      <c r="G723" s="3" t="str">
        <f t="shared" si="258"/>
        <v>二级</v>
      </c>
    </row>
    <row r="724" customHeight="1" spans="1:7">
      <c r="A724" s="3" t="str">
        <f>"1923"</f>
        <v>1923</v>
      </c>
      <c r="B724" s="3" t="s">
        <v>1365</v>
      </c>
      <c r="C724" s="3" t="str">
        <f>"城南路街道"</f>
        <v>城南路街道</v>
      </c>
      <c r="D724" s="3" t="str">
        <f>"燕子岭社区"</f>
        <v>燕子岭社区</v>
      </c>
      <c r="E724" s="3" t="str">
        <f t="shared" si="253"/>
        <v>140</v>
      </c>
      <c r="F724" s="3" t="str">
        <f t="shared" si="252"/>
        <v>100</v>
      </c>
      <c r="G724" s="3" t="str">
        <f t="shared" si="258"/>
        <v>二级</v>
      </c>
    </row>
    <row r="725" customHeight="1" spans="1:7">
      <c r="A725" s="3" t="str">
        <f>"1924"</f>
        <v>1924</v>
      </c>
      <c r="B725" s="3" t="s">
        <v>139</v>
      </c>
      <c r="C725" s="3" t="str">
        <f>"坡子街街道"</f>
        <v>坡子街街道</v>
      </c>
      <c r="D725" s="3" t="str">
        <f>"创远社区"</f>
        <v>创远社区</v>
      </c>
      <c r="E725" s="3" t="str">
        <f t="shared" si="253"/>
        <v>140</v>
      </c>
      <c r="F725" s="3" t="str">
        <f t="shared" si="252"/>
        <v>100</v>
      </c>
      <c r="G725" s="3" t="str">
        <f t="shared" si="258"/>
        <v>二级</v>
      </c>
    </row>
    <row r="726" customHeight="1" spans="1:7">
      <c r="A726" s="3" t="str">
        <f>"1925"</f>
        <v>1925</v>
      </c>
      <c r="B726" s="3" t="s">
        <v>139</v>
      </c>
      <c r="C726" s="3" t="str">
        <f>"裕南街街道"</f>
        <v>裕南街街道</v>
      </c>
      <c r="D726" s="3" t="str">
        <f>"火把山社区"</f>
        <v>火把山社区</v>
      </c>
      <c r="E726" s="3" t="str">
        <f t="shared" si="253"/>
        <v>140</v>
      </c>
      <c r="F726" s="3" t="str">
        <f t="shared" si="252"/>
        <v>100</v>
      </c>
      <c r="G726" s="3" t="str">
        <f t="shared" si="258"/>
        <v>二级</v>
      </c>
    </row>
    <row r="727" customHeight="1" spans="1:7">
      <c r="A727" s="3" t="str">
        <f>"1926"</f>
        <v>1926</v>
      </c>
      <c r="B727" s="3" t="s">
        <v>1366</v>
      </c>
      <c r="C727" s="3" t="str">
        <f>"文源街道"</f>
        <v>文源街道</v>
      </c>
      <c r="D727" s="3" t="str">
        <f>"文源社区"</f>
        <v>文源社区</v>
      </c>
      <c r="E727" s="3" t="str">
        <f t="shared" si="253"/>
        <v>140</v>
      </c>
      <c r="F727" s="3" t="str">
        <f t="shared" si="252"/>
        <v>100</v>
      </c>
      <c r="G727" s="3" t="str">
        <f t="shared" si="258"/>
        <v>二级</v>
      </c>
    </row>
    <row r="728" customHeight="1" spans="1:7">
      <c r="A728" s="3" t="str">
        <f>"1927"</f>
        <v>1927</v>
      </c>
      <c r="B728" s="3" t="s">
        <v>589</v>
      </c>
      <c r="C728" s="3" t="str">
        <f>"暮云街道"</f>
        <v>暮云街道</v>
      </c>
      <c r="D728" s="3" t="str">
        <f>"莲华村"</f>
        <v>莲华村</v>
      </c>
      <c r="E728" s="3" t="str">
        <f t="shared" si="253"/>
        <v>140</v>
      </c>
      <c r="F728" s="3" t="str">
        <f t="shared" si="252"/>
        <v>100</v>
      </c>
      <c r="G728" s="3" t="str">
        <f t="shared" si="258"/>
        <v>二级</v>
      </c>
    </row>
    <row r="729" customHeight="1" spans="1:7">
      <c r="A729" s="3" t="str">
        <f>"1928"</f>
        <v>1928</v>
      </c>
      <c r="B729" s="3" t="s">
        <v>1367</v>
      </c>
      <c r="C729" s="3" t="str">
        <f>"裕南街街道"</f>
        <v>裕南街街道</v>
      </c>
      <c r="D729" s="3" t="str">
        <f>"长坡社区"</f>
        <v>长坡社区</v>
      </c>
      <c r="E729" s="3" t="str">
        <f t="shared" si="253"/>
        <v>140</v>
      </c>
      <c r="F729" s="3" t="str">
        <f t="shared" si="252"/>
        <v>100</v>
      </c>
      <c r="G729" s="3" t="str">
        <f t="shared" ref="G729:G731" si="259">"一级"</f>
        <v>一级</v>
      </c>
    </row>
    <row r="730" customHeight="1" spans="1:7">
      <c r="A730" s="3" t="str">
        <f>"1929"</f>
        <v>1929</v>
      </c>
      <c r="B730" s="3" t="s">
        <v>1368</v>
      </c>
      <c r="C730" s="3" t="str">
        <f>"城南路街道"</f>
        <v>城南路街道</v>
      </c>
      <c r="D730" s="3" t="str">
        <f>"熙台岭社区"</f>
        <v>熙台岭社区</v>
      </c>
      <c r="E730" s="3" t="str">
        <f t="shared" si="253"/>
        <v>140</v>
      </c>
      <c r="F730" s="3" t="str">
        <f t="shared" si="252"/>
        <v>100</v>
      </c>
      <c r="G730" s="3" t="str">
        <f t="shared" si="259"/>
        <v>一级</v>
      </c>
    </row>
    <row r="731" customHeight="1" spans="1:7">
      <c r="A731" s="3" t="str">
        <f>"1930"</f>
        <v>1930</v>
      </c>
      <c r="B731" s="3" t="s">
        <v>209</v>
      </c>
      <c r="C731" s="3" t="str">
        <f>"新开铺街道"</f>
        <v>新开铺街道</v>
      </c>
      <c r="D731" s="3" t="str">
        <f>"豹子岭社区"</f>
        <v>豹子岭社区</v>
      </c>
      <c r="E731" s="3" t="str">
        <f t="shared" si="253"/>
        <v>140</v>
      </c>
      <c r="F731" s="3" t="str">
        <f t="shared" si="252"/>
        <v>100</v>
      </c>
      <c r="G731" s="3" t="str">
        <f t="shared" si="259"/>
        <v>一级</v>
      </c>
    </row>
    <row r="732" customHeight="1" spans="1:7">
      <c r="A732" s="3" t="str">
        <f>"1931"</f>
        <v>1931</v>
      </c>
      <c r="B732" s="3" t="s">
        <v>1369</v>
      </c>
      <c r="C732" s="3" t="str">
        <f>"青园街道"</f>
        <v>青园街道</v>
      </c>
      <c r="D732" s="3" t="str">
        <f>"青园社区"</f>
        <v>青园社区</v>
      </c>
      <c r="E732" s="3" t="str">
        <f t="shared" si="253"/>
        <v>140</v>
      </c>
      <c r="F732" s="3" t="str">
        <f t="shared" si="252"/>
        <v>100</v>
      </c>
      <c r="G732" s="3" t="str">
        <f t="shared" ref="G732:G739" si="260">"二级"</f>
        <v>二级</v>
      </c>
    </row>
    <row r="733" customHeight="1" spans="1:7">
      <c r="A733" s="3" t="str">
        <f>"1932"</f>
        <v>1932</v>
      </c>
      <c r="B733" s="3" t="s">
        <v>1370</v>
      </c>
      <c r="C733" s="3" t="str">
        <f>"文源街道"</f>
        <v>文源街道</v>
      </c>
      <c r="D733" s="3" t="str">
        <f>"文源社区"</f>
        <v>文源社区</v>
      </c>
      <c r="E733" s="3" t="str">
        <f t="shared" si="253"/>
        <v>140</v>
      </c>
      <c r="F733" s="3" t="str">
        <f t="shared" si="252"/>
        <v>100</v>
      </c>
      <c r="G733" s="3" t="str">
        <f t="shared" si="260"/>
        <v>二级</v>
      </c>
    </row>
    <row r="734" customHeight="1" spans="1:7">
      <c r="A734" s="3" t="str">
        <f>"1933"</f>
        <v>1933</v>
      </c>
      <c r="B734" s="3" t="s">
        <v>1371</v>
      </c>
      <c r="C734" s="3" t="str">
        <f>"文源街道"</f>
        <v>文源街道</v>
      </c>
      <c r="D734" s="3" t="str">
        <f>"文源社区"</f>
        <v>文源社区</v>
      </c>
      <c r="E734" s="3" t="str">
        <f t="shared" si="253"/>
        <v>140</v>
      </c>
      <c r="F734" s="3" t="str">
        <f t="shared" si="252"/>
        <v>100</v>
      </c>
      <c r="G734" s="3" t="str">
        <f t="shared" si="260"/>
        <v>二级</v>
      </c>
    </row>
    <row r="735" customHeight="1" spans="1:7">
      <c r="A735" s="3" t="str">
        <f>"1934"</f>
        <v>1934</v>
      </c>
      <c r="B735" s="3" t="s">
        <v>877</v>
      </c>
      <c r="C735" s="3" t="str">
        <f>"南托街道"</f>
        <v>南托街道</v>
      </c>
      <c r="D735" s="3" t="str">
        <f>"牛角塘村"</f>
        <v>牛角塘村</v>
      </c>
      <c r="E735" s="3" t="str">
        <f t="shared" si="253"/>
        <v>140</v>
      </c>
      <c r="F735" s="3" t="str">
        <f t="shared" si="252"/>
        <v>100</v>
      </c>
      <c r="G735" s="3" t="str">
        <f t="shared" si="260"/>
        <v>二级</v>
      </c>
    </row>
    <row r="736" customHeight="1" spans="1:7">
      <c r="A736" s="3" t="str">
        <f>"1935"</f>
        <v>1935</v>
      </c>
      <c r="B736" s="3" t="s">
        <v>1372</v>
      </c>
      <c r="C736" s="3" t="str">
        <f>"桂花坪街道"</f>
        <v>桂花坪街道</v>
      </c>
      <c r="D736" s="3" t="str">
        <f>"新园社区"</f>
        <v>新园社区</v>
      </c>
      <c r="E736" s="3" t="str">
        <f t="shared" si="253"/>
        <v>140</v>
      </c>
      <c r="F736" s="3" t="str">
        <f t="shared" si="252"/>
        <v>100</v>
      </c>
      <c r="G736" s="3" t="str">
        <f t="shared" si="260"/>
        <v>二级</v>
      </c>
    </row>
    <row r="737" customHeight="1" spans="1:7">
      <c r="A737" s="3" t="str">
        <f>"1936"</f>
        <v>1936</v>
      </c>
      <c r="B737" s="3" t="s">
        <v>1373</v>
      </c>
      <c r="C737" s="3" t="str">
        <f>"裕南街街道"</f>
        <v>裕南街街道</v>
      </c>
      <c r="D737" s="3" t="str">
        <f>"石子冲社区"</f>
        <v>石子冲社区</v>
      </c>
      <c r="E737" s="3" t="str">
        <f t="shared" si="253"/>
        <v>140</v>
      </c>
      <c r="F737" s="3" t="str">
        <f t="shared" si="252"/>
        <v>100</v>
      </c>
      <c r="G737" s="3" t="str">
        <f t="shared" si="260"/>
        <v>二级</v>
      </c>
    </row>
    <row r="738" customHeight="1" spans="1:7">
      <c r="A738" s="3" t="str">
        <f>"1937"</f>
        <v>1937</v>
      </c>
      <c r="B738" s="3" t="s">
        <v>1113</v>
      </c>
      <c r="C738" s="3" t="str">
        <f>"裕南街街道"</f>
        <v>裕南街街道</v>
      </c>
      <c r="D738" s="3" t="str">
        <f>"宝塔山社区"</f>
        <v>宝塔山社区</v>
      </c>
      <c r="E738" s="3" t="str">
        <f t="shared" si="253"/>
        <v>140</v>
      </c>
      <c r="F738" s="3" t="str">
        <f t="shared" si="252"/>
        <v>100</v>
      </c>
      <c r="G738" s="3" t="str">
        <f t="shared" si="260"/>
        <v>二级</v>
      </c>
    </row>
    <row r="739" customHeight="1" spans="1:7">
      <c r="A739" s="3" t="str">
        <f>"1938"</f>
        <v>1938</v>
      </c>
      <c r="B739" s="3" t="s">
        <v>1374</v>
      </c>
      <c r="C739" s="3" t="str">
        <f>"新开铺街道"</f>
        <v>新开铺街道</v>
      </c>
      <c r="D739" s="3" t="str">
        <f>"新天社区"</f>
        <v>新天社区</v>
      </c>
      <c r="E739" s="3" t="str">
        <f t="shared" si="253"/>
        <v>140</v>
      </c>
      <c r="F739" s="3" t="str">
        <f t="shared" si="252"/>
        <v>100</v>
      </c>
      <c r="G739" s="3" t="str">
        <f t="shared" si="260"/>
        <v>二级</v>
      </c>
    </row>
    <row r="740" customHeight="1" spans="1:7">
      <c r="A740" s="3" t="str">
        <f>"1939"</f>
        <v>1939</v>
      </c>
      <c r="B740" s="3" t="s">
        <v>1375</v>
      </c>
      <c r="C740" s="3" t="str">
        <f t="shared" ref="C740:C743" si="261">"赤岭路街道"</f>
        <v>赤岭路街道</v>
      </c>
      <c r="D740" s="3" t="str">
        <f>"南大桥社区"</f>
        <v>南大桥社区</v>
      </c>
      <c r="E740" s="3" t="str">
        <f t="shared" si="253"/>
        <v>140</v>
      </c>
      <c r="F740" s="3" t="str">
        <f t="shared" si="252"/>
        <v>100</v>
      </c>
      <c r="G740" s="3" t="str">
        <f t="shared" ref="G740:G742" si="262">"一级"</f>
        <v>一级</v>
      </c>
    </row>
    <row r="741" customHeight="1" spans="1:7">
      <c r="A741" s="3" t="str">
        <f>"1940"</f>
        <v>1940</v>
      </c>
      <c r="B741" s="3" t="s">
        <v>804</v>
      </c>
      <c r="C741" s="3" t="str">
        <f>"坡子街街道"</f>
        <v>坡子街街道</v>
      </c>
      <c r="D741" s="3" t="str">
        <f>"创远社区"</f>
        <v>创远社区</v>
      </c>
      <c r="E741" s="3" t="str">
        <f t="shared" si="253"/>
        <v>140</v>
      </c>
      <c r="F741" s="3" t="str">
        <f t="shared" si="252"/>
        <v>100</v>
      </c>
      <c r="G741" s="3" t="str">
        <f t="shared" si="262"/>
        <v>一级</v>
      </c>
    </row>
    <row r="742" customHeight="1" spans="1:7">
      <c r="A742" s="3" t="str">
        <f>"1941"</f>
        <v>1941</v>
      </c>
      <c r="B742" s="3" t="s">
        <v>1306</v>
      </c>
      <c r="C742" s="3" t="str">
        <f t="shared" si="261"/>
        <v>赤岭路街道</v>
      </c>
      <c r="D742" s="3" t="str">
        <f t="shared" ref="D742:D746" si="263">"新丰社区"</f>
        <v>新丰社区</v>
      </c>
      <c r="E742" s="3" t="str">
        <f t="shared" si="253"/>
        <v>140</v>
      </c>
      <c r="F742" s="3" t="str">
        <f t="shared" si="252"/>
        <v>100</v>
      </c>
      <c r="G742" s="3" t="str">
        <f t="shared" si="262"/>
        <v>一级</v>
      </c>
    </row>
    <row r="743" customHeight="1" spans="1:7">
      <c r="A743" s="3" t="str">
        <f>"1942"</f>
        <v>1942</v>
      </c>
      <c r="B743" s="3" t="s">
        <v>1376</v>
      </c>
      <c r="C743" s="3" t="str">
        <f t="shared" si="261"/>
        <v>赤岭路街道</v>
      </c>
      <c r="D743" s="3" t="str">
        <f t="shared" si="263"/>
        <v>新丰社区</v>
      </c>
      <c r="E743" s="3" t="str">
        <f t="shared" si="253"/>
        <v>140</v>
      </c>
      <c r="F743" s="3" t="str">
        <f t="shared" si="252"/>
        <v>100</v>
      </c>
      <c r="G743" s="3" t="str">
        <f t="shared" ref="G743:G749" si="264">"二级"</f>
        <v>二级</v>
      </c>
    </row>
    <row r="744" customHeight="1" spans="1:7">
      <c r="A744" s="3" t="str">
        <f>"1943"</f>
        <v>1943</v>
      </c>
      <c r="B744" s="3" t="s">
        <v>1377</v>
      </c>
      <c r="C744" s="3" t="str">
        <f>"裕南街街道"</f>
        <v>裕南街街道</v>
      </c>
      <c r="D744" s="3" t="str">
        <f>"向东南社区"</f>
        <v>向东南社区</v>
      </c>
      <c r="E744" s="3" t="str">
        <f t="shared" si="253"/>
        <v>140</v>
      </c>
      <c r="F744" s="3" t="str">
        <f t="shared" si="252"/>
        <v>100</v>
      </c>
      <c r="G744" s="3" t="str">
        <f t="shared" si="264"/>
        <v>二级</v>
      </c>
    </row>
    <row r="745" customHeight="1" spans="1:7">
      <c r="A745" s="3" t="str">
        <f>"1944"</f>
        <v>1944</v>
      </c>
      <c r="B745" s="3" t="s">
        <v>1378</v>
      </c>
      <c r="C745" s="3" t="str">
        <f>"赤岭路街道"</f>
        <v>赤岭路街道</v>
      </c>
      <c r="D745" s="3" t="str">
        <f>"芙蓉南路社区"</f>
        <v>芙蓉南路社区</v>
      </c>
      <c r="E745" s="3" t="str">
        <f t="shared" si="253"/>
        <v>140</v>
      </c>
      <c r="F745" s="3" t="str">
        <f t="shared" si="252"/>
        <v>100</v>
      </c>
      <c r="G745" s="3" t="str">
        <f t="shared" ref="G745:G750" si="265">"一级"</f>
        <v>一级</v>
      </c>
    </row>
    <row r="746" customHeight="1" spans="1:7">
      <c r="A746" s="3" t="str">
        <f>"1945"</f>
        <v>1945</v>
      </c>
      <c r="B746" s="3" t="s">
        <v>1379</v>
      </c>
      <c r="C746" s="3" t="str">
        <f>"赤岭路街道"</f>
        <v>赤岭路街道</v>
      </c>
      <c r="D746" s="3" t="str">
        <f t="shared" si="263"/>
        <v>新丰社区</v>
      </c>
      <c r="E746" s="3" t="str">
        <f t="shared" si="253"/>
        <v>140</v>
      </c>
      <c r="F746" s="3" t="str">
        <f t="shared" si="252"/>
        <v>100</v>
      </c>
      <c r="G746" s="3" t="str">
        <f t="shared" si="265"/>
        <v>一级</v>
      </c>
    </row>
    <row r="747" customHeight="1" spans="1:7">
      <c r="A747" s="3" t="str">
        <f>"1946"</f>
        <v>1946</v>
      </c>
      <c r="B747" s="3" t="s">
        <v>1380</v>
      </c>
      <c r="C747" s="3" t="str">
        <f>"城南路街道"</f>
        <v>城南路街道</v>
      </c>
      <c r="D747" s="3" t="str">
        <f>"燕子岭社区"</f>
        <v>燕子岭社区</v>
      </c>
      <c r="E747" s="3" t="str">
        <f t="shared" si="253"/>
        <v>140</v>
      </c>
      <c r="F747" s="3" t="str">
        <f t="shared" si="252"/>
        <v>100</v>
      </c>
      <c r="G747" s="3" t="str">
        <f t="shared" si="264"/>
        <v>二级</v>
      </c>
    </row>
    <row r="748" customHeight="1" spans="1:7">
      <c r="A748" s="3" t="str">
        <f>"1947"</f>
        <v>1947</v>
      </c>
      <c r="B748" s="3" t="s">
        <v>1381</v>
      </c>
      <c r="C748" s="3" t="str">
        <f>"裕南街街道"</f>
        <v>裕南街街道</v>
      </c>
      <c r="D748" s="3" t="str">
        <f>"宝塔山社区"</f>
        <v>宝塔山社区</v>
      </c>
      <c r="E748" s="3" t="str">
        <f t="shared" si="253"/>
        <v>140</v>
      </c>
      <c r="F748" s="3" t="str">
        <f t="shared" si="252"/>
        <v>100</v>
      </c>
      <c r="G748" s="3" t="str">
        <f t="shared" si="264"/>
        <v>二级</v>
      </c>
    </row>
    <row r="749" customHeight="1" spans="1:7">
      <c r="A749" s="3" t="str">
        <f>"1948"</f>
        <v>1948</v>
      </c>
      <c r="B749" s="3" t="s">
        <v>1382</v>
      </c>
      <c r="C749" s="3" t="str">
        <f>"新开铺街道"</f>
        <v>新开铺街道</v>
      </c>
      <c r="D749" s="3" t="str">
        <f>"新天社区"</f>
        <v>新天社区</v>
      </c>
      <c r="E749" s="3" t="str">
        <f t="shared" si="253"/>
        <v>140</v>
      </c>
      <c r="F749" s="3" t="str">
        <f t="shared" si="252"/>
        <v>100</v>
      </c>
      <c r="G749" s="3" t="str">
        <f t="shared" si="264"/>
        <v>二级</v>
      </c>
    </row>
    <row r="750" customHeight="1" spans="1:7">
      <c r="A750" s="3" t="str">
        <f>"1949"</f>
        <v>1949</v>
      </c>
      <c r="B750" s="3" t="s">
        <v>658</v>
      </c>
      <c r="C750" s="3" t="str">
        <f t="shared" ref="C750:C759" si="266">"坡子街街道"</f>
        <v>坡子街街道</v>
      </c>
      <c r="D750" s="3" t="str">
        <f>"八角亭社区"</f>
        <v>八角亭社区</v>
      </c>
      <c r="E750" s="3" t="str">
        <f t="shared" si="253"/>
        <v>140</v>
      </c>
      <c r="F750" s="3" t="str">
        <f t="shared" si="252"/>
        <v>100</v>
      </c>
      <c r="G750" s="3" t="str">
        <f t="shared" si="265"/>
        <v>一级</v>
      </c>
    </row>
    <row r="751" customHeight="1" spans="1:7">
      <c r="A751" s="3" t="str">
        <f>"1950"</f>
        <v>1950</v>
      </c>
      <c r="B751" s="3" t="s">
        <v>428</v>
      </c>
      <c r="C751" s="3" t="str">
        <f t="shared" si="266"/>
        <v>坡子街街道</v>
      </c>
      <c r="D751" s="3" t="str">
        <f>"登仁桥社区"</f>
        <v>登仁桥社区</v>
      </c>
      <c r="E751" s="3" t="str">
        <f t="shared" si="253"/>
        <v>140</v>
      </c>
      <c r="F751" s="3" t="str">
        <f t="shared" si="252"/>
        <v>100</v>
      </c>
      <c r="G751" s="3" t="str">
        <f t="shared" ref="G751:G754" si="267">"二级"</f>
        <v>二级</v>
      </c>
    </row>
    <row r="752" customHeight="1" spans="1:7">
      <c r="A752" s="3" t="str">
        <f>"1951"</f>
        <v>1951</v>
      </c>
      <c r="B752" s="3" t="s">
        <v>1383</v>
      </c>
      <c r="C752" s="3" t="str">
        <f>"裕南街街道"</f>
        <v>裕南街街道</v>
      </c>
      <c r="D752" s="3" t="str">
        <f>"宝塔山社区"</f>
        <v>宝塔山社区</v>
      </c>
      <c r="E752" s="3" t="str">
        <f t="shared" si="253"/>
        <v>140</v>
      </c>
      <c r="F752" s="3" t="str">
        <f t="shared" si="252"/>
        <v>100</v>
      </c>
      <c r="G752" s="3" t="str">
        <f t="shared" si="267"/>
        <v>二级</v>
      </c>
    </row>
    <row r="753" customHeight="1" spans="1:7">
      <c r="A753" s="3" t="str">
        <f>"1952"</f>
        <v>1952</v>
      </c>
      <c r="B753" s="3" t="s">
        <v>1384</v>
      </c>
      <c r="C753" s="3" t="str">
        <f t="shared" si="266"/>
        <v>坡子街街道</v>
      </c>
      <c r="D753" s="3" t="str">
        <f>"八角亭社区"</f>
        <v>八角亭社区</v>
      </c>
      <c r="E753" s="3" t="str">
        <f t="shared" si="253"/>
        <v>140</v>
      </c>
      <c r="F753" s="3" t="str">
        <f t="shared" si="252"/>
        <v>100</v>
      </c>
      <c r="G753" s="3" t="str">
        <f t="shared" ref="G753:G757" si="268">"一级"</f>
        <v>一级</v>
      </c>
    </row>
    <row r="754" customHeight="1" spans="1:7">
      <c r="A754" s="3" t="str">
        <f>"1953"</f>
        <v>1953</v>
      </c>
      <c r="B754" s="3" t="s">
        <v>1385</v>
      </c>
      <c r="C754" s="3" t="str">
        <f t="shared" si="266"/>
        <v>坡子街街道</v>
      </c>
      <c r="D754" s="3" t="str">
        <f t="shared" ref="D754:D758" si="269">"文庙坪社区"</f>
        <v>文庙坪社区</v>
      </c>
      <c r="E754" s="3" t="str">
        <f t="shared" si="253"/>
        <v>140</v>
      </c>
      <c r="F754" s="3" t="str">
        <f t="shared" si="252"/>
        <v>100</v>
      </c>
      <c r="G754" s="3" t="str">
        <f t="shared" si="267"/>
        <v>二级</v>
      </c>
    </row>
    <row r="755" customHeight="1" spans="1:7">
      <c r="A755" s="3" t="str">
        <f>"1954"</f>
        <v>1954</v>
      </c>
      <c r="B755" s="3" t="s">
        <v>1386</v>
      </c>
      <c r="C755" s="3" t="str">
        <f t="shared" si="266"/>
        <v>坡子街街道</v>
      </c>
      <c r="D755" s="3" t="str">
        <f>"创远社区"</f>
        <v>创远社区</v>
      </c>
      <c r="E755" s="3" t="str">
        <f t="shared" si="253"/>
        <v>140</v>
      </c>
      <c r="F755" s="3" t="str">
        <f t="shared" si="252"/>
        <v>100</v>
      </c>
      <c r="G755" s="3" t="str">
        <f t="shared" si="268"/>
        <v>一级</v>
      </c>
    </row>
    <row r="756" customHeight="1" spans="1:7">
      <c r="A756" s="3" t="str">
        <f>"1955"</f>
        <v>1955</v>
      </c>
      <c r="B756" s="3" t="s">
        <v>1387</v>
      </c>
      <c r="C756" s="3" t="str">
        <f t="shared" si="266"/>
        <v>坡子街街道</v>
      </c>
      <c r="D756" s="3" t="str">
        <f>"登仁桥社区"</f>
        <v>登仁桥社区</v>
      </c>
      <c r="E756" s="3" t="str">
        <f t="shared" si="253"/>
        <v>140</v>
      </c>
      <c r="F756" s="3" t="str">
        <f t="shared" si="252"/>
        <v>100</v>
      </c>
      <c r="G756" s="3" t="str">
        <f t="shared" ref="G756:G762" si="270">"二级"</f>
        <v>二级</v>
      </c>
    </row>
    <row r="757" customHeight="1" spans="1:7">
      <c r="A757" s="3" t="str">
        <f>"1956"</f>
        <v>1956</v>
      </c>
      <c r="B757" s="3" t="s">
        <v>68</v>
      </c>
      <c r="C757" s="3" t="str">
        <f t="shared" si="266"/>
        <v>坡子街街道</v>
      </c>
      <c r="D757" s="3" t="str">
        <f t="shared" si="269"/>
        <v>文庙坪社区</v>
      </c>
      <c r="E757" s="3" t="str">
        <f t="shared" si="253"/>
        <v>140</v>
      </c>
      <c r="F757" s="3" t="str">
        <f t="shared" si="252"/>
        <v>100</v>
      </c>
      <c r="G757" s="3" t="str">
        <f t="shared" si="268"/>
        <v>一级</v>
      </c>
    </row>
    <row r="758" customHeight="1" spans="1:7">
      <c r="A758" s="3" t="str">
        <f>"1957"</f>
        <v>1957</v>
      </c>
      <c r="B758" s="3" t="s">
        <v>1388</v>
      </c>
      <c r="C758" s="3" t="str">
        <f t="shared" si="266"/>
        <v>坡子街街道</v>
      </c>
      <c r="D758" s="3" t="str">
        <f t="shared" si="269"/>
        <v>文庙坪社区</v>
      </c>
      <c r="E758" s="3" t="str">
        <f t="shared" si="253"/>
        <v>140</v>
      </c>
      <c r="F758" s="3" t="str">
        <f t="shared" si="252"/>
        <v>100</v>
      </c>
      <c r="G758" s="3" t="str">
        <f t="shared" si="270"/>
        <v>二级</v>
      </c>
    </row>
    <row r="759" customHeight="1" spans="1:7">
      <c r="A759" s="3" t="str">
        <f>"1958"</f>
        <v>1958</v>
      </c>
      <c r="B759" s="3" t="s">
        <v>1389</v>
      </c>
      <c r="C759" s="3" t="str">
        <f t="shared" si="266"/>
        <v>坡子街街道</v>
      </c>
      <c r="D759" s="3" t="str">
        <f>"楚湘社区"</f>
        <v>楚湘社区</v>
      </c>
      <c r="E759" s="3" t="str">
        <f t="shared" si="253"/>
        <v>140</v>
      </c>
      <c r="F759" s="3" t="str">
        <f t="shared" si="252"/>
        <v>100</v>
      </c>
      <c r="G759" s="3" t="str">
        <f t="shared" si="270"/>
        <v>二级</v>
      </c>
    </row>
    <row r="760" customHeight="1" spans="1:7">
      <c r="A760" s="3" t="str">
        <f>"1959"</f>
        <v>1959</v>
      </c>
      <c r="B760" s="3" t="s">
        <v>1390</v>
      </c>
      <c r="C760" s="3" t="str">
        <f t="shared" ref="C760:C765" si="271">"城南路街道"</f>
        <v>城南路街道</v>
      </c>
      <c r="D760" s="3" t="str">
        <f>"天心阁社区"</f>
        <v>天心阁社区</v>
      </c>
      <c r="E760" s="3" t="str">
        <f t="shared" si="253"/>
        <v>140</v>
      </c>
      <c r="F760" s="3" t="str">
        <f t="shared" si="252"/>
        <v>100</v>
      </c>
      <c r="G760" s="3" t="str">
        <f t="shared" si="270"/>
        <v>二级</v>
      </c>
    </row>
    <row r="761" customHeight="1" spans="1:7">
      <c r="A761" s="3" t="str">
        <f>"1960"</f>
        <v>1960</v>
      </c>
      <c r="B761" s="3" t="s">
        <v>1391</v>
      </c>
      <c r="C761" s="3" t="str">
        <f t="shared" si="271"/>
        <v>城南路街道</v>
      </c>
      <c r="D761" s="3" t="str">
        <f>"熙台岭社区"</f>
        <v>熙台岭社区</v>
      </c>
      <c r="E761" s="3" t="str">
        <f t="shared" si="253"/>
        <v>140</v>
      </c>
      <c r="F761" s="3" t="str">
        <f t="shared" si="252"/>
        <v>100</v>
      </c>
      <c r="G761" s="3" t="str">
        <f t="shared" si="270"/>
        <v>二级</v>
      </c>
    </row>
    <row r="762" customHeight="1" spans="1:7">
      <c r="A762" s="3" t="str">
        <f>"1961"</f>
        <v>1961</v>
      </c>
      <c r="B762" s="3" t="s">
        <v>146</v>
      </c>
      <c r="C762" s="3" t="str">
        <f>"裕南街街道"</f>
        <v>裕南街街道</v>
      </c>
      <c r="D762" s="3" t="str">
        <f>"宝塔山社区"</f>
        <v>宝塔山社区</v>
      </c>
      <c r="E762" s="3" t="str">
        <f t="shared" si="253"/>
        <v>140</v>
      </c>
      <c r="F762" s="3" t="str">
        <f t="shared" si="252"/>
        <v>100</v>
      </c>
      <c r="G762" s="3" t="str">
        <f t="shared" si="270"/>
        <v>二级</v>
      </c>
    </row>
    <row r="763" customHeight="1" spans="1:7">
      <c r="A763" s="3" t="str">
        <f>"1962"</f>
        <v>1962</v>
      </c>
      <c r="B763" s="3" t="s">
        <v>139</v>
      </c>
      <c r="C763" s="3" t="str">
        <f>"裕南街街道"</f>
        <v>裕南街街道</v>
      </c>
      <c r="D763" s="3" t="str">
        <f>"石子冲社区"</f>
        <v>石子冲社区</v>
      </c>
      <c r="E763" s="3" t="str">
        <f t="shared" si="253"/>
        <v>140</v>
      </c>
      <c r="F763" s="3" t="str">
        <f t="shared" si="252"/>
        <v>100</v>
      </c>
      <c r="G763" s="3" t="str">
        <f>"一级"</f>
        <v>一级</v>
      </c>
    </row>
    <row r="764" customHeight="1" spans="1:7">
      <c r="A764" s="3" t="str">
        <f>"1963"</f>
        <v>1963</v>
      </c>
      <c r="B764" s="3" t="s">
        <v>80</v>
      </c>
      <c r="C764" s="3" t="str">
        <f t="shared" ref="C764:C768" si="272">"坡子街街道"</f>
        <v>坡子街街道</v>
      </c>
      <c r="D764" s="3" t="str">
        <f>"青山祠社区"</f>
        <v>青山祠社区</v>
      </c>
      <c r="E764" s="3" t="str">
        <f t="shared" si="253"/>
        <v>140</v>
      </c>
      <c r="F764" s="3" t="str">
        <f t="shared" si="252"/>
        <v>100</v>
      </c>
      <c r="G764" s="3" t="str">
        <f t="shared" ref="G764:G768" si="273">"二级"</f>
        <v>二级</v>
      </c>
    </row>
    <row r="765" customHeight="1" spans="1:7">
      <c r="A765" s="3" t="str">
        <f>"1964"</f>
        <v>1964</v>
      </c>
      <c r="B765" s="3" t="s">
        <v>462</v>
      </c>
      <c r="C765" s="3" t="str">
        <f t="shared" si="271"/>
        <v>城南路街道</v>
      </c>
      <c r="D765" s="3" t="str">
        <f>"吴家坪社区"</f>
        <v>吴家坪社区</v>
      </c>
      <c r="E765" s="3" t="str">
        <f t="shared" si="253"/>
        <v>140</v>
      </c>
      <c r="F765" s="3" t="str">
        <f t="shared" si="252"/>
        <v>100</v>
      </c>
      <c r="G765" s="3" t="str">
        <f t="shared" si="273"/>
        <v>二级</v>
      </c>
    </row>
    <row r="766" customHeight="1" spans="1:7">
      <c r="A766" s="3" t="str">
        <f>"1965"</f>
        <v>1965</v>
      </c>
      <c r="B766" s="3" t="s">
        <v>1171</v>
      </c>
      <c r="C766" s="3" t="str">
        <f>"文源街道"</f>
        <v>文源街道</v>
      </c>
      <c r="D766" s="3" t="str">
        <f>"金汇社区"</f>
        <v>金汇社区</v>
      </c>
      <c r="E766" s="3" t="str">
        <f t="shared" si="253"/>
        <v>140</v>
      </c>
      <c r="F766" s="3" t="str">
        <f t="shared" si="252"/>
        <v>100</v>
      </c>
      <c r="G766" s="3" t="str">
        <f t="shared" si="273"/>
        <v>二级</v>
      </c>
    </row>
    <row r="767" customHeight="1" spans="1:7">
      <c r="A767" s="3" t="str">
        <f>"1966"</f>
        <v>1966</v>
      </c>
      <c r="B767" s="3" t="s">
        <v>72</v>
      </c>
      <c r="C767" s="3" t="str">
        <f t="shared" si="272"/>
        <v>坡子街街道</v>
      </c>
      <c r="D767" s="3" t="str">
        <f>"登仁桥社区"</f>
        <v>登仁桥社区</v>
      </c>
      <c r="E767" s="3" t="str">
        <f t="shared" si="253"/>
        <v>140</v>
      </c>
      <c r="F767" s="3" t="str">
        <f t="shared" ref="F767:F830" si="274">"100"</f>
        <v>100</v>
      </c>
      <c r="G767" s="3" t="str">
        <f t="shared" si="273"/>
        <v>二级</v>
      </c>
    </row>
    <row r="768" customHeight="1" spans="1:7">
      <c r="A768" s="3" t="str">
        <f>"1967"</f>
        <v>1967</v>
      </c>
      <c r="B768" s="3" t="s">
        <v>112</v>
      </c>
      <c r="C768" s="3" t="str">
        <f t="shared" si="272"/>
        <v>坡子街街道</v>
      </c>
      <c r="D768" s="3" t="str">
        <f>"文庙坪社区"</f>
        <v>文庙坪社区</v>
      </c>
      <c r="E768" s="3" t="str">
        <f t="shared" si="253"/>
        <v>140</v>
      </c>
      <c r="F768" s="3" t="str">
        <f t="shared" si="274"/>
        <v>100</v>
      </c>
      <c r="G768" s="3" t="str">
        <f t="shared" si="273"/>
        <v>二级</v>
      </c>
    </row>
    <row r="769" customHeight="1" spans="1:7">
      <c r="A769" s="3" t="str">
        <f>"1968"</f>
        <v>1968</v>
      </c>
      <c r="B769" s="3" t="s">
        <v>72</v>
      </c>
      <c r="C769" s="3" t="str">
        <f>"裕南街街道"</f>
        <v>裕南街街道</v>
      </c>
      <c r="D769" s="3" t="str">
        <f>"宝塔山社区"</f>
        <v>宝塔山社区</v>
      </c>
      <c r="E769" s="3" t="str">
        <f t="shared" si="253"/>
        <v>140</v>
      </c>
      <c r="F769" s="3" t="str">
        <f t="shared" si="274"/>
        <v>100</v>
      </c>
      <c r="G769" s="3" t="str">
        <f t="shared" ref="G769:G774" si="275">"一级"</f>
        <v>一级</v>
      </c>
    </row>
    <row r="770" customHeight="1" spans="1:7">
      <c r="A770" s="3" t="str">
        <f>"1969"</f>
        <v>1969</v>
      </c>
      <c r="B770" s="3" t="s">
        <v>1392</v>
      </c>
      <c r="C770" s="3" t="str">
        <f t="shared" ref="C770:C774" si="276">"金盆岭街道"</f>
        <v>金盆岭街道</v>
      </c>
      <c r="D770" s="3" t="str">
        <f>"赤岭路社区"</f>
        <v>赤岭路社区</v>
      </c>
      <c r="E770" s="3" t="str">
        <f t="shared" ref="E770:E833" si="277">"140"</f>
        <v>140</v>
      </c>
      <c r="F770" s="3" t="str">
        <f t="shared" si="274"/>
        <v>100</v>
      </c>
      <c r="G770" s="3" t="str">
        <f t="shared" si="275"/>
        <v>一级</v>
      </c>
    </row>
    <row r="771" customHeight="1" spans="1:7">
      <c r="A771" s="3" t="str">
        <f>"1970"</f>
        <v>1970</v>
      </c>
      <c r="B771" s="3" t="s">
        <v>439</v>
      </c>
      <c r="C771" s="3" t="str">
        <f t="shared" si="276"/>
        <v>金盆岭街道</v>
      </c>
      <c r="D771" s="3" t="str">
        <f>"涂新社区"</f>
        <v>涂新社区</v>
      </c>
      <c r="E771" s="3" t="str">
        <f t="shared" si="277"/>
        <v>140</v>
      </c>
      <c r="F771" s="3" t="str">
        <f t="shared" si="274"/>
        <v>100</v>
      </c>
      <c r="G771" s="3" t="str">
        <f>"二级"</f>
        <v>二级</v>
      </c>
    </row>
    <row r="772" customHeight="1" spans="1:7">
      <c r="A772" s="3" t="str">
        <f>"1971"</f>
        <v>1971</v>
      </c>
      <c r="B772" s="3" t="s">
        <v>1393</v>
      </c>
      <c r="C772" s="3" t="str">
        <f>"赤岭路街道"</f>
        <v>赤岭路街道</v>
      </c>
      <c r="D772" s="3" t="str">
        <f>"新丰社区"</f>
        <v>新丰社区</v>
      </c>
      <c r="E772" s="3" t="str">
        <f t="shared" si="277"/>
        <v>140</v>
      </c>
      <c r="F772" s="3" t="str">
        <f t="shared" si="274"/>
        <v>100</v>
      </c>
      <c r="G772" s="3" t="str">
        <f t="shared" si="275"/>
        <v>一级</v>
      </c>
    </row>
    <row r="773" customHeight="1" spans="1:7">
      <c r="A773" s="3" t="str">
        <f>"1972"</f>
        <v>1972</v>
      </c>
      <c r="B773" s="3" t="s">
        <v>1394</v>
      </c>
      <c r="C773" s="3" t="str">
        <f>"城南路街道"</f>
        <v>城南路街道</v>
      </c>
      <c r="D773" s="3" t="str">
        <f>"白沙井社区"</f>
        <v>白沙井社区</v>
      </c>
      <c r="E773" s="3" t="str">
        <f t="shared" si="277"/>
        <v>140</v>
      </c>
      <c r="F773" s="3" t="str">
        <f t="shared" si="274"/>
        <v>100</v>
      </c>
      <c r="G773" s="3" t="str">
        <f t="shared" si="275"/>
        <v>一级</v>
      </c>
    </row>
    <row r="774" customHeight="1" spans="1:7">
      <c r="A774" s="3" t="str">
        <f>"1973"</f>
        <v>1973</v>
      </c>
      <c r="B774" s="3" t="s">
        <v>1395</v>
      </c>
      <c r="C774" s="3" t="str">
        <f t="shared" si="276"/>
        <v>金盆岭街道</v>
      </c>
      <c r="D774" s="3" t="str">
        <f>"夏家冲社区"</f>
        <v>夏家冲社区</v>
      </c>
      <c r="E774" s="3" t="str">
        <f t="shared" si="277"/>
        <v>140</v>
      </c>
      <c r="F774" s="3" t="str">
        <f t="shared" si="274"/>
        <v>100</v>
      </c>
      <c r="G774" s="3" t="str">
        <f t="shared" si="275"/>
        <v>一级</v>
      </c>
    </row>
    <row r="775" customHeight="1" spans="1:7">
      <c r="A775" s="3" t="str">
        <f>"1974"</f>
        <v>1974</v>
      </c>
      <c r="B775" s="3" t="s">
        <v>1396</v>
      </c>
      <c r="C775" s="3" t="str">
        <f>"桂花坪街道"</f>
        <v>桂花坪街道</v>
      </c>
      <c r="D775" s="3" t="str">
        <f>"九峰苑社区"</f>
        <v>九峰苑社区</v>
      </c>
      <c r="E775" s="3" t="str">
        <f t="shared" si="277"/>
        <v>140</v>
      </c>
      <c r="F775" s="3" t="str">
        <f t="shared" si="274"/>
        <v>100</v>
      </c>
      <c r="G775" s="3" t="str">
        <f t="shared" ref="G775:G778" si="278">"二级"</f>
        <v>二级</v>
      </c>
    </row>
    <row r="776" customHeight="1" spans="1:7">
      <c r="A776" s="3" t="str">
        <f>"1975"</f>
        <v>1975</v>
      </c>
      <c r="B776" s="3" t="s">
        <v>1397</v>
      </c>
      <c r="C776" s="3" t="str">
        <f>"桂花坪街道"</f>
        <v>桂花坪街道</v>
      </c>
      <c r="D776" s="3" t="str">
        <f>"金桂社区"</f>
        <v>金桂社区</v>
      </c>
      <c r="E776" s="3" t="str">
        <f t="shared" si="277"/>
        <v>140</v>
      </c>
      <c r="F776" s="3" t="str">
        <f t="shared" si="274"/>
        <v>100</v>
      </c>
      <c r="G776" s="3" t="str">
        <f>"一级"</f>
        <v>一级</v>
      </c>
    </row>
    <row r="777" customHeight="1" spans="1:7">
      <c r="A777" s="3" t="str">
        <f>"1976"</f>
        <v>1976</v>
      </c>
      <c r="B777" s="3" t="s">
        <v>1398</v>
      </c>
      <c r="C777" s="3" t="str">
        <f>"裕南街街道"</f>
        <v>裕南街街道</v>
      </c>
      <c r="D777" s="3" t="str">
        <f>"火把山社区"</f>
        <v>火把山社区</v>
      </c>
      <c r="E777" s="3" t="str">
        <f t="shared" si="277"/>
        <v>140</v>
      </c>
      <c r="F777" s="3" t="str">
        <f t="shared" si="274"/>
        <v>100</v>
      </c>
      <c r="G777" s="3" t="str">
        <f t="shared" si="278"/>
        <v>二级</v>
      </c>
    </row>
    <row r="778" customHeight="1" spans="1:7">
      <c r="A778" s="3" t="str">
        <f>"1977"</f>
        <v>1977</v>
      </c>
      <c r="B778" s="3" t="s">
        <v>1399</v>
      </c>
      <c r="C778" s="3" t="str">
        <f>"文源街道"</f>
        <v>文源街道</v>
      </c>
      <c r="D778" s="3" t="str">
        <f>"天鸿社区"</f>
        <v>天鸿社区</v>
      </c>
      <c r="E778" s="3" t="str">
        <f t="shared" si="277"/>
        <v>140</v>
      </c>
      <c r="F778" s="3" t="str">
        <f t="shared" si="274"/>
        <v>100</v>
      </c>
      <c r="G778" s="3" t="str">
        <f t="shared" si="278"/>
        <v>二级</v>
      </c>
    </row>
    <row r="779" customHeight="1" spans="1:7">
      <c r="A779" s="3" t="str">
        <f>"1978"</f>
        <v>1978</v>
      </c>
      <c r="B779" s="3" t="s">
        <v>720</v>
      </c>
      <c r="C779" s="3" t="str">
        <f>"大托铺街道"</f>
        <v>大托铺街道</v>
      </c>
      <c r="D779" s="3" t="str">
        <f>"桂井村委会"</f>
        <v>桂井村委会</v>
      </c>
      <c r="E779" s="3" t="str">
        <f t="shared" si="277"/>
        <v>140</v>
      </c>
      <c r="F779" s="3" t="str">
        <f t="shared" si="274"/>
        <v>100</v>
      </c>
      <c r="G779" s="3" t="str">
        <f t="shared" ref="G779:G783" si="279">"一级"</f>
        <v>一级</v>
      </c>
    </row>
    <row r="780" customHeight="1" spans="1:7">
      <c r="A780" s="3" t="str">
        <f>"1979"</f>
        <v>1979</v>
      </c>
      <c r="B780" s="3" t="s">
        <v>1400</v>
      </c>
      <c r="C780" s="3" t="str">
        <f>"大托铺街道"</f>
        <v>大托铺街道</v>
      </c>
      <c r="D780" s="3" t="str">
        <f>"新港村委会"</f>
        <v>新港村委会</v>
      </c>
      <c r="E780" s="3" t="str">
        <f t="shared" si="277"/>
        <v>140</v>
      </c>
      <c r="F780" s="3" t="str">
        <f t="shared" si="274"/>
        <v>100</v>
      </c>
      <c r="G780" s="3" t="str">
        <f t="shared" ref="G780:G784" si="280">"二级"</f>
        <v>二级</v>
      </c>
    </row>
    <row r="781" customHeight="1" spans="1:7">
      <c r="A781" s="3" t="str">
        <f>"1980"</f>
        <v>1980</v>
      </c>
      <c r="B781" s="3" t="s">
        <v>1401</v>
      </c>
      <c r="C781" s="3" t="str">
        <f>"南托街道"</f>
        <v>南托街道</v>
      </c>
      <c r="D781" s="3" t="str">
        <f>"滨洲新村"</f>
        <v>滨洲新村</v>
      </c>
      <c r="E781" s="3" t="str">
        <f t="shared" si="277"/>
        <v>140</v>
      </c>
      <c r="F781" s="3" t="str">
        <f t="shared" si="274"/>
        <v>100</v>
      </c>
      <c r="G781" s="3" t="str">
        <f t="shared" si="280"/>
        <v>二级</v>
      </c>
    </row>
    <row r="782" customHeight="1" spans="1:7">
      <c r="A782" s="3" t="str">
        <f>"1981"</f>
        <v>1981</v>
      </c>
      <c r="B782" s="3" t="s">
        <v>1402</v>
      </c>
      <c r="C782" s="3" t="str">
        <f>"青园街道"</f>
        <v>青园街道</v>
      </c>
      <c r="D782" s="3" t="str">
        <f>"友谊社区"</f>
        <v>友谊社区</v>
      </c>
      <c r="E782" s="3" t="str">
        <f t="shared" si="277"/>
        <v>140</v>
      </c>
      <c r="F782" s="3" t="str">
        <f t="shared" si="274"/>
        <v>100</v>
      </c>
      <c r="G782" s="3" t="str">
        <f t="shared" si="279"/>
        <v>一级</v>
      </c>
    </row>
    <row r="783" customHeight="1" spans="1:7">
      <c r="A783" s="3" t="str">
        <f>"1982"</f>
        <v>1982</v>
      </c>
      <c r="B783" s="3" t="s">
        <v>1403</v>
      </c>
      <c r="C783" s="3" t="str">
        <f>"先锋街道"</f>
        <v>先锋街道</v>
      </c>
      <c r="D783" s="3" t="str">
        <f>"新宇社区"</f>
        <v>新宇社区</v>
      </c>
      <c r="E783" s="3" t="str">
        <f t="shared" si="277"/>
        <v>140</v>
      </c>
      <c r="F783" s="3" t="str">
        <f t="shared" si="274"/>
        <v>100</v>
      </c>
      <c r="G783" s="3" t="str">
        <f t="shared" si="279"/>
        <v>一级</v>
      </c>
    </row>
    <row r="784" customHeight="1" spans="1:7">
      <c r="A784" s="3" t="str">
        <f>"1983"</f>
        <v>1983</v>
      </c>
      <c r="B784" s="3" t="s">
        <v>1404</v>
      </c>
      <c r="C784" s="3" t="str">
        <f>"裕南街街道"</f>
        <v>裕南街街道</v>
      </c>
      <c r="D784" s="3" t="str">
        <f>"仰天湖社区"</f>
        <v>仰天湖社区</v>
      </c>
      <c r="E784" s="3" t="str">
        <f t="shared" si="277"/>
        <v>140</v>
      </c>
      <c r="F784" s="3" t="str">
        <f t="shared" si="274"/>
        <v>100</v>
      </c>
      <c r="G784" s="3" t="str">
        <f t="shared" si="280"/>
        <v>二级</v>
      </c>
    </row>
    <row r="785" customHeight="1" spans="1:7">
      <c r="A785" s="3" t="str">
        <f>"1984"</f>
        <v>1984</v>
      </c>
      <c r="B785" s="3" t="s">
        <v>1405</v>
      </c>
      <c r="C785" s="3" t="str">
        <f>"大托铺街道"</f>
        <v>大托铺街道</v>
      </c>
      <c r="D785" s="3" t="str">
        <f>"黄合村委会"</f>
        <v>黄合村委会</v>
      </c>
      <c r="E785" s="3" t="str">
        <f t="shared" si="277"/>
        <v>140</v>
      </c>
      <c r="F785" s="3" t="str">
        <f t="shared" si="274"/>
        <v>100</v>
      </c>
      <c r="G785" s="3" t="str">
        <f>"一级"</f>
        <v>一级</v>
      </c>
    </row>
    <row r="786" customHeight="1" spans="1:7">
      <c r="A786" s="3" t="str">
        <f>"1985"</f>
        <v>1985</v>
      </c>
      <c r="B786" s="3" t="s">
        <v>1406</v>
      </c>
      <c r="C786" s="3" t="str">
        <f>"新开铺街道"</f>
        <v>新开铺街道</v>
      </c>
      <c r="D786" s="3" t="str">
        <f>"石人村委会"</f>
        <v>石人村委会</v>
      </c>
      <c r="E786" s="3" t="str">
        <f t="shared" si="277"/>
        <v>140</v>
      </c>
      <c r="F786" s="3" t="str">
        <f t="shared" si="274"/>
        <v>100</v>
      </c>
      <c r="G786" s="3" t="str">
        <f t="shared" ref="G786:G794" si="281">"二级"</f>
        <v>二级</v>
      </c>
    </row>
    <row r="787" customHeight="1" spans="1:7">
      <c r="A787" s="3" t="str">
        <f>"1986"</f>
        <v>1986</v>
      </c>
      <c r="B787" s="3" t="s">
        <v>1407</v>
      </c>
      <c r="C787" s="3" t="str">
        <f t="shared" ref="C787:C792" si="282">"坡子街街道"</f>
        <v>坡子街街道</v>
      </c>
      <c r="D787" s="3" t="str">
        <f>"太平街社区"</f>
        <v>太平街社区</v>
      </c>
      <c r="E787" s="3" t="str">
        <f t="shared" si="277"/>
        <v>140</v>
      </c>
      <c r="F787" s="3" t="str">
        <f t="shared" si="274"/>
        <v>100</v>
      </c>
      <c r="G787" s="3" t="str">
        <f>"一级"</f>
        <v>一级</v>
      </c>
    </row>
    <row r="788" customHeight="1" spans="1:7">
      <c r="A788" s="3" t="str">
        <f>"1987"</f>
        <v>1987</v>
      </c>
      <c r="B788" s="3" t="s">
        <v>1408</v>
      </c>
      <c r="C788" s="3" t="str">
        <f>"金盆岭街道"</f>
        <v>金盆岭街道</v>
      </c>
      <c r="D788" s="3" t="str">
        <f>"狮子山社区"</f>
        <v>狮子山社区</v>
      </c>
      <c r="E788" s="3" t="str">
        <f t="shared" si="277"/>
        <v>140</v>
      </c>
      <c r="F788" s="3" t="str">
        <f t="shared" si="274"/>
        <v>100</v>
      </c>
      <c r="G788" s="3" t="str">
        <f t="shared" si="281"/>
        <v>二级</v>
      </c>
    </row>
    <row r="789" customHeight="1" spans="1:7">
      <c r="A789" s="3" t="str">
        <f>"1988"</f>
        <v>1988</v>
      </c>
      <c r="B789" s="3" t="s">
        <v>1409</v>
      </c>
      <c r="C789" s="3" t="str">
        <f t="shared" si="282"/>
        <v>坡子街街道</v>
      </c>
      <c r="D789" s="3" t="str">
        <f>"文庙坪社区"</f>
        <v>文庙坪社区</v>
      </c>
      <c r="E789" s="3" t="str">
        <f t="shared" si="277"/>
        <v>140</v>
      </c>
      <c r="F789" s="3" t="str">
        <f t="shared" si="274"/>
        <v>100</v>
      </c>
      <c r="G789" s="3" t="str">
        <f t="shared" si="281"/>
        <v>二级</v>
      </c>
    </row>
    <row r="790" customHeight="1" spans="1:7">
      <c r="A790" s="3" t="str">
        <f>"1989"</f>
        <v>1989</v>
      </c>
      <c r="B790" s="3" t="s">
        <v>1410</v>
      </c>
      <c r="C790" s="3" t="str">
        <f t="shared" si="282"/>
        <v>坡子街街道</v>
      </c>
      <c r="D790" s="3" t="str">
        <f>"八角亭社区"</f>
        <v>八角亭社区</v>
      </c>
      <c r="E790" s="3" t="str">
        <f t="shared" si="277"/>
        <v>140</v>
      </c>
      <c r="F790" s="3" t="str">
        <f t="shared" si="274"/>
        <v>100</v>
      </c>
      <c r="G790" s="3" t="str">
        <f t="shared" si="281"/>
        <v>二级</v>
      </c>
    </row>
    <row r="791" customHeight="1" spans="1:7">
      <c r="A791" s="3" t="str">
        <f>"1990"</f>
        <v>1990</v>
      </c>
      <c r="B791" s="3" t="s">
        <v>1411</v>
      </c>
      <c r="C791" s="3" t="str">
        <f t="shared" si="282"/>
        <v>坡子街街道</v>
      </c>
      <c r="D791" s="3" t="str">
        <f>"文庙坪社区"</f>
        <v>文庙坪社区</v>
      </c>
      <c r="E791" s="3" t="str">
        <f t="shared" si="277"/>
        <v>140</v>
      </c>
      <c r="F791" s="3" t="str">
        <f t="shared" si="274"/>
        <v>100</v>
      </c>
      <c r="G791" s="3" t="str">
        <f t="shared" si="281"/>
        <v>二级</v>
      </c>
    </row>
    <row r="792" customHeight="1" spans="1:7">
      <c r="A792" s="3" t="str">
        <f>"1991"</f>
        <v>1991</v>
      </c>
      <c r="B792" s="3" t="s">
        <v>717</v>
      </c>
      <c r="C792" s="3" t="str">
        <f t="shared" si="282"/>
        <v>坡子街街道</v>
      </c>
      <c r="D792" s="3" t="str">
        <f>"楚湘社区"</f>
        <v>楚湘社区</v>
      </c>
      <c r="E792" s="3" t="str">
        <f t="shared" si="277"/>
        <v>140</v>
      </c>
      <c r="F792" s="3" t="str">
        <f t="shared" si="274"/>
        <v>100</v>
      </c>
      <c r="G792" s="3" t="str">
        <f t="shared" si="281"/>
        <v>二级</v>
      </c>
    </row>
    <row r="793" customHeight="1" spans="1:7">
      <c r="A793" s="3" t="str">
        <f>"1992"</f>
        <v>1992</v>
      </c>
      <c r="B793" s="3" t="s">
        <v>1412</v>
      </c>
      <c r="C793" s="3" t="str">
        <f>"裕南街街道"</f>
        <v>裕南街街道</v>
      </c>
      <c r="D793" s="3" t="str">
        <f>"火把山社区"</f>
        <v>火把山社区</v>
      </c>
      <c r="E793" s="3" t="str">
        <f t="shared" si="277"/>
        <v>140</v>
      </c>
      <c r="F793" s="3" t="str">
        <f t="shared" si="274"/>
        <v>100</v>
      </c>
      <c r="G793" s="3" t="str">
        <f t="shared" si="281"/>
        <v>二级</v>
      </c>
    </row>
    <row r="794" customHeight="1" spans="1:7">
      <c r="A794" s="3" t="str">
        <f>"1993"</f>
        <v>1993</v>
      </c>
      <c r="B794" s="3" t="s">
        <v>1413</v>
      </c>
      <c r="C794" s="3" t="str">
        <f t="shared" ref="C794:C799" si="283">"坡子街街道"</f>
        <v>坡子街街道</v>
      </c>
      <c r="D794" s="3" t="str">
        <f>"西牌楼社区"</f>
        <v>西牌楼社区</v>
      </c>
      <c r="E794" s="3" t="str">
        <f t="shared" si="277"/>
        <v>140</v>
      </c>
      <c r="F794" s="3" t="str">
        <f t="shared" si="274"/>
        <v>100</v>
      </c>
      <c r="G794" s="3" t="str">
        <f t="shared" si="281"/>
        <v>二级</v>
      </c>
    </row>
    <row r="795" customHeight="1" spans="1:7">
      <c r="A795" s="3" t="str">
        <f>"1994"</f>
        <v>1994</v>
      </c>
      <c r="B795" s="3" t="s">
        <v>80</v>
      </c>
      <c r="C795" s="3" t="str">
        <f t="shared" si="283"/>
        <v>坡子街街道</v>
      </c>
      <c r="D795" s="3" t="str">
        <f>"坡子街社区"</f>
        <v>坡子街社区</v>
      </c>
      <c r="E795" s="3" t="str">
        <f t="shared" si="277"/>
        <v>140</v>
      </c>
      <c r="F795" s="3" t="str">
        <f t="shared" si="274"/>
        <v>100</v>
      </c>
      <c r="G795" s="3" t="str">
        <f>"一级"</f>
        <v>一级</v>
      </c>
    </row>
    <row r="796" customHeight="1" spans="1:7">
      <c r="A796" s="3" t="str">
        <f>"1995"</f>
        <v>1995</v>
      </c>
      <c r="B796" s="3" t="s">
        <v>1414</v>
      </c>
      <c r="C796" s="3" t="str">
        <f>"桂花坪街道"</f>
        <v>桂花坪街道</v>
      </c>
      <c r="D796" s="3" t="str">
        <f>"新园社区"</f>
        <v>新园社区</v>
      </c>
      <c r="E796" s="3" t="str">
        <f t="shared" si="277"/>
        <v>140</v>
      </c>
      <c r="F796" s="3" t="str">
        <f t="shared" si="274"/>
        <v>100</v>
      </c>
      <c r="G796" s="3" t="str">
        <f t="shared" ref="G796:G805" si="284">"二级"</f>
        <v>二级</v>
      </c>
    </row>
    <row r="797" customHeight="1" spans="1:7">
      <c r="A797" s="3" t="str">
        <f>"1996"</f>
        <v>1996</v>
      </c>
      <c r="B797" s="3" t="s">
        <v>76</v>
      </c>
      <c r="C797" s="3" t="str">
        <f>"金盆岭街道"</f>
        <v>金盆岭街道</v>
      </c>
      <c r="D797" s="3" t="str">
        <f>"黄土岭社区"</f>
        <v>黄土岭社区</v>
      </c>
      <c r="E797" s="3" t="str">
        <f t="shared" si="277"/>
        <v>140</v>
      </c>
      <c r="F797" s="3" t="str">
        <f t="shared" si="274"/>
        <v>100</v>
      </c>
      <c r="G797" s="3" t="str">
        <f t="shared" si="284"/>
        <v>二级</v>
      </c>
    </row>
    <row r="798" customHeight="1" spans="1:7">
      <c r="A798" s="3" t="str">
        <f>"1997"</f>
        <v>1997</v>
      </c>
      <c r="B798" s="3" t="s">
        <v>1415</v>
      </c>
      <c r="C798" s="3" t="str">
        <f>"裕南街街道"</f>
        <v>裕南街街道</v>
      </c>
      <c r="D798" s="3" t="str">
        <f>"杏花园社区"</f>
        <v>杏花园社区</v>
      </c>
      <c r="E798" s="3" t="str">
        <f t="shared" si="277"/>
        <v>140</v>
      </c>
      <c r="F798" s="3" t="str">
        <f t="shared" si="274"/>
        <v>100</v>
      </c>
      <c r="G798" s="3" t="str">
        <f t="shared" si="284"/>
        <v>二级</v>
      </c>
    </row>
    <row r="799" customHeight="1" spans="1:7">
      <c r="A799" s="3" t="str">
        <f>"1998"</f>
        <v>1998</v>
      </c>
      <c r="B799" s="3" t="s">
        <v>1416</v>
      </c>
      <c r="C799" s="3" t="str">
        <f t="shared" si="283"/>
        <v>坡子街街道</v>
      </c>
      <c r="D799" s="3" t="str">
        <f>"西湖社区"</f>
        <v>西湖社区</v>
      </c>
      <c r="E799" s="3" t="str">
        <f t="shared" si="277"/>
        <v>140</v>
      </c>
      <c r="F799" s="3" t="str">
        <f t="shared" si="274"/>
        <v>100</v>
      </c>
      <c r="G799" s="3" t="str">
        <f t="shared" si="284"/>
        <v>二级</v>
      </c>
    </row>
    <row r="800" customHeight="1" spans="1:7">
      <c r="A800" s="3" t="str">
        <f>"1999"</f>
        <v>1999</v>
      </c>
      <c r="B800" s="3" t="s">
        <v>70</v>
      </c>
      <c r="C800" s="3" t="str">
        <f>"裕南街街道"</f>
        <v>裕南街街道</v>
      </c>
      <c r="D800" s="3" t="str">
        <f>"向东南社区"</f>
        <v>向东南社区</v>
      </c>
      <c r="E800" s="3" t="str">
        <f t="shared" si="277"/>
        <v>140</v>
      </c>
      <c r="F800" s="3" t="str">
        <f t="shared" si="274"/>
        <v>100</v>
      </c>
      <c r="G800" s="3" t="str">
        <f t="shared" si="284"/>
        <v>二级</v>
      </c>
    </row>
    <row r="801" customHeight="1" spans="1:7">
      <c r="A801" s="3" t="str">
        <f>"2000"</f>
        <v>2000</v>
      </c>
      <c r="B801" s="3" t="s">
        <v>139</v>
      </c>
      <c r="C801" s="3" t="str">
        <f>"坡子街街道"</f>
        <v>坡子街街道</v>
      </c>
      <c r="D801" s="3" t="str">
        <f>"青山祠社区"</f>
        <v>青山祠社区</v>
      </c>
      <c r="E801" s="3" t="str">
        <f t="shared" si="277"/>
        <v>140</v>
      </c>
      <c r="F801" s="3" t="str">
        <f t="shared" si="274"/>
        <v>100</v>
      </c>
      <c r="G801" s="3" t="str">
        <f t="shared" si="284"/>
        <v>二级</v>
      </c>
    </row>
    <row r="802" customHeight="1" spans="1:7">
      <c r="A802" s="3" t="str">
        <f>"2001"</f>
        <v>2001</v>
      </c>
      <c r="B802" s="3" t="s">
        <v>1417</v>
      </c>
      <c r="C802" s="3" t="str">
        <f>"金盆岭街道"</f>
        <v>金盆岭街道</v>
      </c>
      <c r="D802" s="3" t="str">
        <f>"赤岭路社区"</f>
        <v>赤岭路社区</v>
      </c>
      <c r="E802" s="3" t="str">
        <f t="shared" si="277"/>
        <v>140</v>
      </c>
      <c r="F802" s="3" t="str">
        <f t="shared" si="274"/>
        <v>100</v>
      </c>
      <c r="G802" s="3" t="str">
        <f t="shared" si="284"/>
        <v>二级</v>
      </c>
    </row>
    <row r="803" customHeight="1" spans="1:7">
      <c r="A803" s="3" t="str">
        <f>"2002"</f>
        <v>2002</v>
      </c>
      <c r="B803" s="3" t="s">
        <v>146</v>
      </c>
      <c r="C803" s="3" t="str">
        <f>"文源街道"</f>
        <v>文源街道</v>
      </c>
      <c r="D803" s="3" t="str">
        <f>"梅岭社区"</f>
        <v>梅岭社区</v>
      </c>
      <c r="E803" s="3" t="str">
        <f t="shared" si="277"/>
        <v>140</v>
      </c>
      <c r="F803" s="3" t="str">
        <f t="shared" si="274"/>
        <v>100</v>
      </c>
      <c r="G803" s="3" t="str">
        <f t="shared" si="284"/>
        <v>二级</v>
      </c>
    </row>
    <row r="804" customHeight="1" spans="1:7">
      <c r="A804" s="3" t="str">
        <f>"2003"</f>
        <v>2003</v>
      </c>
      <c r="B804" s="3" t="s">
        <v>139</v>
      </c>
      <c r="C804" s="3" t="str">
        <f>"赤岭路街道"</f>
        <v>赤岭路街道</v>
      </c>
      <c r="D804" s="3" t="str">
        <f>"南大桥社区"</f>
        <v>南大桥社区</v>
      </c>
      <c r="E804" s="3" t="str">
        <f t="shared" si="277"/>
        <v>140</v>
      </c>
      <c r="F804" s="3" t="str">
        <f t="shared" si="274"/>
        <v>100</v>
      </c>
      <c r="G804" s="3" t="str">
        <f t="shared" si="284"/>
        <v>二级</v>
      </c>
    </row>
    <row r="805" customHeight="1" spans="1:7">
      <c r="A805" s="3" t="str">
        <f>"2004"</f>
        <v>2004</v>
      </c>
      <c r="B805" s="3" t="s">
        <v>1418</v>
      </c>
      <c r="C805" s="3" t="str">
        <f t="shared" ref="C805:C810" si="285">"坡子街街道"</f>
        <v>坡子街街道</v>
      </c>
      <c r="D805" s="3" t="str">
        <f>"碧湘社区"</f>
        <v>碧湘社区</v>
      </c>
      <c r="E805" s="3" t="str">
        <f t="shared" si="277"/>
        <v>140</v>
      </c>
      <c r="F805" s="3" t="str">
        <f t="shared" si="274"/>
        <v>100</v>
      </c>
      <c r="G805" s="3" t="str">
        <f t="shared" si="284"/>
        <v>二级</v>
      </c>
    </row>
    <row r="806" customHeight="1" spans="1:7">
      <c r="A806" s="3" t="str">
        <f>"2005"</f>
        <v>2005</v>
      </c>
      <c r="B806" s="3" t="s">
        <v>1419</v>
      </c>
      <c r="C806" s="3" t="str">
        <f>"裕南街街道"</f>
        <v>裕南街街道</v>
      </c>
      <c r="D806" s="3" t="str">
        <f>"火把山社区"</f>
        <v>火把山社区</v>
      </c>
      <c r="E806" s="3" t="str">
        <f t="shared" si="277"/>
        <v>140</v>
      </c>
      <c r="F806" s="3" t="str">
        <f t="shared" si="274"/>
        <v>100</v>
      </c>
      <c r="G806" s="3" t="str">
        <f t="shared" ref="G806:G811" si="286">"一级"</f>
        <v>一级</v>
      </c>
    </row>
    <row r="807" customHeight="1" spans="1:7">
      <c r="A807" s="3" t="str">
        <f>"2006"</f>
        <v>2006</v>
      </c>
      <c r="B807" s="3" t="s">
        <v>266</v>
      </c>
      <c r="C807" s="3" t="str">
        <f>"新开铺街道"</f>
        <v>新开铺街道</v>
      </c>
      <c r="D807" s="3" t="str">
        <f>"桥头社区"</f>
        <v>桥头社区</v>
      </c>
      <c r="E807" s="3" t="str">
        <f t="shared" si="277"/>
        <v>140</v>
      </c>
      <c r="F807" s="3" t="str">
        <f t="shared" si="274"/>
        <v>100</v>
      </c>
      <c r="G807" s="3" t="str">
        <f t="shared" ref="G807:G809" si="287">"二级"</f>
        <v>二级</v>
      </c>
    </row>
    <row r="808" customHeight="1" spans="1:7">
      <c r="A808" s="3" t="str">
        <f>"2007"</f>
        <v>2007</v>
      </c>
      <c r="B808" s="3" t="s">
        <v>476</v>
      </c>
      <c r="C808" s="3" t="str">
        <f t="shared" si="285"/>
        <v>坡子街街道</v>
      </c>
      <c r="D808" s="3" t="str">
        <f>"青山祠社区"</f>
        <v>青山祠社区</v>
      </c>
      <c r="E808" s="3" t="str">
        <f t="shared" si="277"/>
        <v>140</v>
      </c>
      <c r="F808" s="3" t="str">
        <f t="shared" si="274"/>
        <v>100</v>
      </c>
      <c r="G808" s="3" t="str">
        <f t="shared" si="287"/>
        <v>二级</v>
      </c>
    </row>
    <row r="809" customHeight="1" spans="1:7">
      <c r="A809" s="3" t="str">
        <f>"2008"</f>
        <v>2008</v>
      </c>
      <c r="B809" s="3" t="s">
        <v>140</v>
      </c>
      <c r="C809" s="3" t="str">
        <f t="shared" si="285"/>
        <v>坡子街街道</v>
      </c>
      <c r="D809" s="3" t="str">
        <f>"坡子街社区"</f>
        <v>坡子街社区</v>
      </c>
      <c r="E809" s="3" t="str">
        <f t="shared" si="277"/>
        <v>140</v>
      </c>
      <c r="F809" s="3" t="str">
        <f t="shared" si="274"/>
        <v>100</v>
      </c>
      <c r="G809" s="3" t="str">
        <f t="shared" si="287"/>
        <v>二级</v>
      </c>
    </row>
    <row r="810" customHeight="1" spans="1:7">
      <c r="A810" s="3" t="str">
        <f>"2009"</f>
        <v>2009</v>
      </c>
      <c r="B810" s="3" t="s">
        <v>1420</v>
      </c>
      <c r="C810" s="3" t="str">
        <f t="shared" si="285"/>
        <v>坡子街街道</v>
      </c>
      <c r="D810" s="3" t="str">
        <f>"碧湘社区"</f>
        <v>碧湘社区</v>
      </c>
      <c r="E810" s="3" t="str">
        <f t="shared" si="277"/>
        <v>140</v>
      </c>
      <c r="F810" s="3" t="str">
        <f t="shared" si="274"/>
        <v>100</v>
      </c>
      <c r="G810" s="3" t="str">
        <f t="shared" si="286"/>
        <v>一级</v>
      </c>
    </row>
    <row r="811" customHeight="1" spans="1:7">
      <c r="A811" s="3" t="str">
        <f>"2010"</f>
        <v>2010</v>
      </c>
      <c r="B811" s="3" t="s">
        <v>1421</v>
      </c>
      <c r="C811" s="3" t="str">
        <f>"裕南街街道"</f>
        <v>裕南街街道</v>
      </c>
      <c r="D811" s="3" t="str">
        <f>"宝塔山社区"</f>
        <v>宝塔山社区</v>
      </c>
      <c r="E811" s="3" t="str">
        <f t="shared" si="277"/>
        <v>140</v>
      </c>
      <c r="F811" s="3" t="str">
        <f t="shared" si="274"/>
        <v>100</v>
      </c>
      <c r="G811" s="3" t="str">
        <f t="shared" si="286"/>
        <v>一级</v>
      </c>
    </row>
    <row r="812" customHeight="1" spans="1:7">
      <c r="A812" s="3" t="str">
        <f>"2011"</f>
        <v>2011</v>
      </c>
      <c r="B812" s="3" t="s">
        <v>1422</v>
      </c>
      <c r="C812" s="3" t="str">
        <f>"先锋街道"</f>
        <v>先锋街道</v>
      </c>
      <c r="D812" s="3" t="str">
        <f>"新路村委会"</f>
        <v>新路村委会</v>
      </c>
      <c r="E812" s="3" t="str">
        <f t="shared" si="277"/>
        <v>140</v>
      </c>
      <c r="F812" s="3" t="str">
        <f t="shared" si="274"/>
        <v>100</v>
      </c>
      <c r="G812" s="3" t="str">
        <f t="shared" ref="G812:G814" si="288">"二级"</f>
        <v>二级</v>
      </c>
    </row>
    <row r="813" customHeight="1" spans="1:7">
      <c r="A813" s="3" t="str">
        <f>"2012"</f>
        <v>2012</v>
      </c>
      <c r="B813" s="3" t="s">
        <v>1423</v>
      </c>
      <c r="C813" s="3" t="str">
        <f>"新开铺街道"</f>
        <v>新开铺街道</v>
      </c>
      <c r="D813" s="3" t="str">
        <f>"新开铺社区"</f>
        <v>新开铺社区</v>
      </c>
      <c r="E813" s="3" t="str">
        <f t="shared" si="277"/>
        <v>140</v>
      </c>
      <c r="F813" s="3" t="str">
        <f t="shared" si="274"/>
        <v>100</v>
      </c>
      <c r="G813" s="3" t="str">
        <f t="shared" si="288"/>
        <v>二级</v>
      </c>
    </row>
    <row r="814" customHeight="1" spans="1:7">
      <c r="A814" s="3" t="str">
        <f>"2013"</f>
        <v>2013</v>
      </c>
      <c r="B814" s="3" t="s">
        <v>1424</v>
      </c>
      <c r="C814" s="3" t="str">
        <f>"青园街道"</f>
        <v>青园街道</v>
      </c>
      <c r="D814" s="3" t="str">
        <f>"井湾子社区"</f>
        <v>井湾子社区</v>
      </c>
      <c r="E814" s="3" t="str">
        <f t="shared" si="277"/>
        <v>140</v>
      </c>
      <c r="F814" s="3" t="str">
        <f t="shared" si="274"/>
        <v>100</v>
      </c>
      <c r="G814" s="3" t="str">
        <f t="shared" si="288"/>
        <v>二级</v>
      </c>
    </row>
    <row r="815" customHeight="1" spans="1:7">
      <c r="A815" s="3" t="str">
        <f>"2014"</f>
        <v>2014</v>
      </c>
      <c r="B815" s="3" t="s">
        <v>1425</v>
      </c>
      <c r="C815" s="3" t="str">
        <f t="shared" ref="C815:C820" si="289">"裕南街街道"</f>
        <v>裕南街街道</v>
      </c>
      <c r="D815" s="3" t="str">
        <f>"宝塔山社区"</f>
        <v>宝塔山社区</v>
      </c>
      <c r="E815" s="3" t="str">
        <f t="shared" si="277"/>
        <v>140</v>
      </c>
      <c r="F815" s="3" t="str">
        <f t="shared" si="274"/>
        <v>100</v>
      </c>
      <c r="G815" s="3" t="str">
        <f t="shared" ref="G815:G821" si="290">"一级"</f>
        <v>一级</v>
      </c>
    </row>
    <row r="816" customHeight="1" spans="1:7">
      <c r="A816" s="3" t="str">
        <f>"2015"</f>
        <v>2015</v>
      </c>
      <c r="B816" s="3" t="s">
        <v>149</v>
      </c>
      <c r="C816" s="3" t="str">
        <f>"坡子街街道"</f>
        <v>坡子街街道</v>
      </c>
      <c r="D816" s="3" t="str">
        <f>"登仁桥社区"</f>
        <v>登仁桥社区</v>
      </c>
      <c r="E816" s="3" t="str">
        <f t="shared" si="277"/>
        <v>140</v>
      </c>
      <c r="F816" s="3" t="str">
        <f t="shared" si="274"/>
        <v>100</v>
      </c>
      <c r="G816" s="3" t="str">
        <f t="shared" ref="G816:G819" si="291">"二级"</f>
        <v>二级</v>
      </c>
    </row>
    <row r="817" customHeight="1" spans="1:7">
      <c r="A817" s="3" t="str">
        <f>"2016"</f>
        <v>2016</v>
      </c>
      <c r="B817" s="3" t="s">
        <v>1426</v>
      </c>
      <c r="C817" s="3" t="str">
        <f t="shared" si="289"/>
        <v>裕南街街道</v>
      </c>
      <c r="D817" s="3" t="str">
        <f>"东瓜山社区"</f>
        <v>东瓜山社区</v>
      </c>
      <c r="E817" s="3" t="str">
        <f t="shared" si="277"/>
        <v>140</v>
      </c>
      <c r="F817" s="3" t="str">
        <f t="shared" si="274"/>
        <v>100</v>
      </c>
      <c r="G817" s="3" t="str">
        <f t="shared" si="291"/>
        <v>二级</v>
      </c>
    </row>
    <row r="818" customHeight="1" spans="1:7">
      <c r="A818" s="3" t="str">
        <f>"2017"</f>
        <v>2017</v>
      </c>
      <c r="B818" s="3" t="s">
        <v>408</v>
      </c>
      <c r="C818" s="3" t="str">
        <f>"金盆岭街道"</f>
        <v>金盆岭街道</v>
      </c>
      <c r="D818" s="3" t="str">
        <f>"涂新社区"</f>
        <v>涂新社区</v>
      </c>
      <c r="E818" s="3" t="str">
        <f t="shared" si="277"/>
        <v>140</v>
      </c>
      <c r="F818" s="3" t="str">
        <f t="shared" si="274"/>
        <v>100</v>
      </c>
      <c r="G818" s="3" t="str">
        <f t="shared" si="290"/>
        <v>一级</v>
      </c>
    </row>
    <row r="819" customHeight="1" spans="1:7">
      <c r="A819" s="3" t="str">
        <f>"2018"</f>
        <v>2018</v>
      </c>
      <c r="B819" s="3" t="s">
        <v>112</v>
      </c>
      <c r="C819" s="3" t="str">
        <f>"新开铺街道"</f>
        <v>新开铺街道</v>
      </c>
      <c r="D819" s="3" t="str">
        <f>"新开铺社区"</f>
        <v>新开铺社区</v>
      </c>
      <c r="E819" s="3" t="str">
        <f t="shared" si="277"/>
        <v>140</v>
      </c>
      <c r="F819" s="3" t="str">
        <f t="shared" si="274"/>
        <v>100</v>
      </c>
      <c r="G819" s="3" t="str">
        <f t="shared" si="291"/>
        <v>二级</v>
      </c>
    </row>
    <row r="820" customHeight="1" spans="1:7">
      <c r="A820" s="3" t="str">
        <f>"2019"</f>
        <v>2019</v>
      </c>
      <c r="B820" s="3" t="s">
        <v>1427</v>
      </c>
      <c r="C820" s="3" t="str">
        <f t="shared" si="289"/>
        <v>裕南街街道</v>
      </c>
      <c r="D820" s="3" t="str">
        <f>"向东南社区"</f>
        <v>向东南社区</v>
      </c>
      <c r="E820" s="3" t="str">
        <f t="shared" si="277"/>
        <v>140</v>
      </c>
      <c r="F820" s="3" t="str">
        <f t="shared" si="274"/>
        <v>100</v>
      </c>
      <c r="G820" s="3" t="str">
        <f t="shared" si="290"/>
        <v>一级</v>
      </c>
    </row>
    <row r="821" customHeight="1" spans="1:7">
      <c r="A821" s="3" t="str">
        <f>"2020"</f>
        <v>2020</v>
      </c>
      <c r="B821" s="3" t="s">
        <v>1428</v>
      </c>
      <c r="C821" s="3" t="str">
        <f t="shared" ref="C821:C826" si="292">"赤岭路街道"</f>
        <v>赤岭路街道</v>
      </c>
      <c r="D821" s="3" t="str">
        <f>"广厦新村社区"</f>
        <v>广厦新村社区</v>
      </c>
      <c r="E821" s="3" t="str">
        <f t="shared" si="277"/>
        <v>140</v>
      </c>
      <c r="F821" s="3" t="str">
        <f t="shared" si="274"/>
        <v>100</v>
      </c>
      <c r="G821" s="3" t="str">
        <f t="shared" si="290"/>
        <v>一级</v>
      </c>
    </row>
    <row r="822" customHeight="1" spans="1:7">
      <c r="A822" s="3" t="str">
        <f>"2021"</f>
        <v>2021</v>
      </c>
      <c r="B822" s="3" t="s">
        <v>1429</v>
      </c>
      <c r="C822" s="3" t="str">
        <f t="shared" si="292"/>
        <v>赤岭路街道</v>
      </c>
      <c r="D822" s="3" t="str">
        <f>"南大桥社区"</f>
        <v>南大桥社区</v>
      </c>
      <c r="E822" s="3" t="str">
        <f t="shared" si="277"/>
        <v>140</v>
      </c>
      <c r="F822" s="3" t="str">
        <f t="shared" si="274"/>
        <v>100</v>
      </c>
      <c r="G822" s="3" t="str">
        <f t="shared" ref="G822:G826" si="293">"二级"</f>
        <v>二级</v>
      </c>
    </row>
    <row r="823" customHeight="1" spans="1:7">
      <c r="A823" s="3" t="str">
        <f>"2022"</f>
        <v>2022</v>
      </c>
      <c r="B823" s="3" t="s">
        <v>1430</v>
      </c>
      <c r="C823" s="3" t="str">
        <f>"坡子街街道"</f>
        <v>坡子街街道</v>
      </c>
      <c r="D823" s="3" t="str">
        <f>"创远社区"</f>
        <v>创远社区</v>
      </c>
      <c r="E823" s="3" t="str">
        <f t="shared" si="277"/>
        <v>140</v>
      </c>
      <c r="F823" s="3" t="str">
        <f t="shared" si="274"/>
        <v>100</v>
      </c>
      <c r="G823" s="3" t="str">
        <f t="shared" si="293"/>
        <v>二级</v>
      </c>
    </row>
    <row r="824" customHeight="1" spans="1:7">
      <c r="A824" s="3" t="str">
        <f>"2023"</f>
        <v>2023</v>
      </c>
      <c r="B824" s="3" t="s">
        <v>132</v>
      </c>
      <c r="C824" s="3" t="str">
        <f>"裕南街街道"</f>
        <v>裕南街街道</v>
      </c>
      <c r="D824" s="3" t="str">
        <f>"裕南街社区"</f>
        <v>裕南街社区</v>
      </c>
      <c r="E824" s="3" t="str">
        <f t="shared" si="277"/>
        <v>140</v>
      </c>
      <c r="F824" s="3" t="str">
        <f t="shared" si="274"/>
        <v>100</v>
      </c>
      <c r="G824" s="3" t="str">
        <f t="shared" ref="G824:G828" si="294">"一级"</f>
        <v>一级</v>
      </c>
    </row>
    <row r="825" customHeight="1" spans="1:7">
      <c r="A825" s="3" t="str">
        <f>"2024"</f>
        <v>2024</v>
      </c>
      <c r="B825" s="3" t="s">
        <v>1298</v>
      </c>
      <c r="C825" s="3" t="str">
        <f>"新开铺街道"</f>
        <v>新开铺街道</v>
      </c>
      <c r="D825" s="3" t="str">
        <f>"新开铺社区"</f>
        <v>新开铺社区</v>
      </c>
      <c r="E825" s="3" t="str">
        <f t="shared" si="277"/>
        <v>140</v>
      </c>
      <c r="F825" s="3" t="str">
        <f t="shared" si="274"/>
        <v>100</v>
      </c>
      <c r="G825" s="3" t="str">
        <f t="shared" si="294"/>
        <v>一级</v>
      </c>
    </row>
    <row r="826" customHeight="1" spans="1:7">
      <c r="A826" s="3" t="str">
        <f>"2025"</f>
        <v>2025</v>
      </c>
      <c r="B826" s="3" t="s">
        <v>1431</v>
      </c>
      <c r="C826" s="3" t="str">
        <f t="shared" si="292"/>
        <v>赤岭路街道</v>
      </c>
      <c r="D826" s="3" t="str">
        <f>"新丰社区"</f>
        <v>新丰社区</v>
      </c>
      <c r="E826" s="3" t="str">
        <f t="shared" si="277"/>
        <v>140</v>
      </c>
      <c r="F826" s="3" t="str">
        <f t="shared" si="274"/>
        <v>100</v>
      </c>
      <c r="G826" s="3" t="str">
        <f t="shared" si="293"/>
        <v>二级</v>
      </c>
    </row>
    <row r="827" customHeight="1" spans="1:7">
      <c r="A827" s="3" t="str">
        <f>"2026"</f>
        <v>2026</v>
      </c>
      <c r="B827" s="3" t="s">
        <v>1432</v>
      </c>
      <c r="C827" s="3" t="str">
        <f>"新开铺街道"</f>
        <v>新开铺街道</v>
      </c>
      <c r="D827" s="3" t="str">
        <f>"新开铺社区"</f>
        <v>新开铺社区</v>
      </c>
      <c r="E827" s="3" t="str">
        <f t="shared" si="277"/>
        <v>140</v>
      </c>
      <c r="F827" s="3" t="str">
        <f t="shared" si="274"/>
        <v>100</v>
      </c>
      <c r="G827" s="3" t="str">
        <f t="shared" si="294"/>
        <v>一级</v>
      </c>
    </row>
    <row r="828" customHeight="1" spans="1:7">
      <c r="A828" s="3" t="str">
        <f>"2027"</f>
        <v>2027</v>
      </c>
      <c r="B828" s="3" t="s">
        <v>1433</v>
      </c>
      <c r="C828" s="3" t="str">
        <f t="shared" ref="C828:C833" si="295">"裕南街街道"</f>
        <v>裕南街街道</v>
      </c>
      <c r="D828" s="3" t="str">
        <f>"宝塔山社区"</f>
        <v>宝塔山社区</v>
      </c>
      <c r="E828" s="3" t="str">
        <f t="shared" si="277"/>
        <v>140</v>
      </c>
      <c r="F828" s="3" t="str">
        <f t="shared" si="274"/>
        <v>100</v>
      </c>
      <c r="G828" s="3" t="str">
        <f t="shared" si="294"/>
        <v>一级</v>
      </c>
    </row>
    <row r="829" customHeight="1" spans="1:7">
      <c r="A829" s="3" t="str">
        <f>"2028"</f>
        <v>2028</v>
      </c>
      <c r="B829" s="3" t="s">
        <v>1434</v>
      </c>
      <c r="C829" s="3" t="str">
        <f>"城南路街道"</f>
        <v>城南路街道</v>
      </c>
      <c r="D829" s="3" t="str">
        <f>"燕子岭社区"</f>
        <v>燕子岭社区</v>
      </c>
      <c r="E829" s="3" t="str">
        <f t="shared" si="277"/>
        <v>140</v>
      </c>
      <c r="F829" s="3" t="str">
        <f t="shared" si="274"/>
        <v>100</v>
      </c>
      <c r="G829" s="3" t="str">
        <f t="shared" ref="G829:G835" si="296">"二级"</f>
        <v>二级</v>
      </c>
    </row>
    <row r="830" customHeight="1" spans="1:7">
      <c r="A830" s="3" t="str">
        <f>"2029"</f>
        <v>2029</v>
      </c>
      <c r="B830" s="3" t="s">
        <v>603</v>
      </c>
      <c r="C830" s="3" t="str">
        <f>"坡子街街道"</f>
        <v>坡子街街道</v>
      </c>
      <c r="D830" s="3" t="str">
        <f>"文庙坪社区"</f>
        <v>文庙坪社区</v>
      </c>
      <c r="E830" s="3" t="str">
        <f t="shared" si="277"/>
        <v>140</v>
      </c>
      <c r="F830" s="3" t="str">
        <f t="shared" si="274"/>
        <v>100</v>
      </c>
      <c r="G830" s="3" t="str">
        <f>"一级"</f>
        <v>一级</v>
      </c>
    </row>
    <row r="831" customHeight="1" spans="1:7">
      <c r="A831" s="3" t="str">
        <f>"2030"</f>
        <v>2030</v>
      </c>
      <c r="B831" s="3" t="s">
        <v>1435</v>
      </c>
      <c r="C831" s="3" t="str">
        <f t="shared" si="295"/>
        <v>裕南街街道</v>
      </c>
      <c r="D831" s="3" t="str">
        <f>"杏花园社区"</f>
        <v>杏花园社区</v>
      </c>
      <c r="E831" s="3" t="str">
        <f t="shared" si="277"/>
        <v>140</v>
      </c>
      <c r="F831" s="3" t="str">
        <f t="shared" ref="F831:F894" si="297">"100"</f>
        <v>100</v>
      </c>
      <c r="G831" s="3" t="str">
        <f t="shared" si="296"/>
        <v>二级</v>
      </c>
    </row>
    <row r="832" customHeight="1" spans="1:7">
      <c r="A832" s="3" t="str">
        <f>"2031"</f>
        <v>2031</v>
      </c>
      <c r="B832" s="3" t="s">
        <v>1436</v>
      </c>
      <c r="C832" s="3" t="str">
        <f t="shared" si="295"/>
        <v>裕南街街道</v>
      </c>
      <c r="D832" s="3" t="str">
        <f>"宝塔山社区"</f>
        <v>宝塔山社区</v>
      </c>
      <c r="E832" s="3" t="str">
        <f t="shared" si="277"/>
        <v>140</v>
      </c>
      <c r="F832" s="3" t="str">
        <f t="shared" si="297"/>
        <v>100</v>
      </c>
      <c r="G832" s="3" t="str">
        <f t="shared" ref="G832:G837" si="298">"一级"</f>
        <v>一级</v>
      </c>
    </row>
    <row r="833" customHeight="1" spans="1:7">
      <c r="A833" s="3" t="str">
        <f>"2032"</f>
        <v>2032</v>
      </c>
      <c r="B833" s="3" t="s">
        <v>1437</v>
      </c>
      <c r="C833" s="3" t="str">
        <f t="shared" si="295"/>
        <v>裕南街街道</v>
      </c>
      <c r="D833" s="3" t="str">
        <f>"石子冲社区"</f>
        <v>石子冲社区</v>
      </c>
      <c r="E833" s="3" t="str">
        <f t="shared" si="277"/>
        <v>140</v>
      </c>
      <c r="F833" s="3" t="str">
        <f t="shared" si="297"/>
        <v>100</v>
      </c>
      <c r="G833" s="3" t="str">
        <f t="shared" si="296"/>
        <v>二级</v>
      </c>
    </row>
    <row r="834" customHeight="1" spans="1:7">
      <c r="A834" s="3" t="str">
        <f>"2033"</f>
        <v>2033</v>
      </c>
      <c r="B834" s="3" t="s">
        <v>834</v>
      </c>
      <c r="C834" s="3" t="str">
        <f>"赤岭路街道"</f>
        <v>赤岭路街道</v>
      </c>
      <c r="D834" s="3" t="str">
        <f>"白沙花园社区"</f>
        <v>白沙花园社区</v>
      </c>
      <c r="E834" s="3" t="str">
        <f t="shared" ref="E834:E897" si="299">"140"</f>
        <v>140</v>
      </c>
      <c r="F834" s="3" t="str">
        <f t="shared" si="297"/>
        <v>100</v>
      </c>
      <c r="G834" s="3" t="str">
        <f t="shared" si="296"/>
        <v>二级</v>
      </c>
    </row>
    <row r="835" customHeight="1" spans="1:7">
      <c r="A835" s="3" t="str">
        <f>"2034"</f>
        <v>2034</v>
      </c>
      <c r="B835" s="3" t="s">
        <v>1438</v>
      </c>
      <c r="C835" s="3" t="str">
        <f>"新开铺街道"</f>
        <v>新开铺街道</v>
      </c>
      <c r="D835" s="3" t="str">
        <f>"新开铺社区"</f>
        <v>新开铺社区</v>
      </c>
      <c r="E835" s="3" t="str">
        <f t="shared" si="299"/>
        <v>140</v>
      </c>
      <c r="F835" s="3" t="str">
        <f t="shared" si="297"/>
        <v>100</v>
      </c>
      <c r="G835" s="3" t="str">
        <f t="shared" si="296"/>
        <v>二级</v>
      </c>
    </row>
    <row r="836" customHeight="1" spans="1:7">
      <c r="A836" s="3" t="str">
        <f>"2035"</f>
        <v>2035</v>
      </c>
      <c r="B836" s="3" t="s">
        <v>1439</v>
      </c>
      <c r="C836" s="3" t="str">
        <f t="shared" ref="C836:C841" si="300">"坡子街街道"</f>
        <v>坡子街街道</v>
      </c>
      <c r="D836" s="3" t="str">
        <f>"坡子街社区"</f>
        <v>坡子街社区</v>
      </c>
      <c r="E836" s="3" t="str">
        <f t="shared" si="299"/>
        <v>140</v>
      </c>
      <c r="F836" s="3" t="str">
        <f t="shared" si="297"/>
        <v>100</v>
      </c>
      <c r="G836" s="3" t="str">
        <f t="shared" si="298"/>
        <v>一级</v>
      </c>
    </row>
    <row r="837" customHeight="1" spans="1:7">
      <c r="A837" s="3" t="str">
        <f>"2036"</f>
        <v>2036</v>
      </c>
      <c r="B837" s="3" t="s">
        <v>1440</v>
      </c>
      <c r="C837" s="3" t="str">
        <f>"赤岭路街道"</f>
        <v>赤岭路街道</v>
      </c>
      <c r="D837" s="3" t="str">
        <f>"白沙花园社区"</f>
        <v>白沙花园社区</v>
      </c>
      <c r="E837" s="3" t="str">
        <f t="shared" si="299"/>
        <v>140</v>
      </c>
      <c r="F837" s="3" t="str">
        <f t="shared" si="297"/>
        <v>100</v>
      </c>
      <c r="G837" s="3" t="str">
        <f t="shared" si="298"/>
        <v>一级</v>
      </c>
    </row>
    <row r="838" customHeight="1" spans="1:7">
      <c r="A838" s="3" t="str">
        <f>"2037"</f>
        <v>2037</v>
      </c>
      <c r="B838" s="3" t="s">
        <v>1441</v>
      </c>
      <c r="C838" s="3" t="str">
        <f>"城南路街道"</f>
        <v>城南路街道</v>
      </c>
      <c r="D838" s="3" t="str">
        <f>"熙台岭社区"</f>
        <v>熙台岭社区</v>
      </c>
      <c r="E838" s="3" t="str">
        <f t="shared" si="299"/>
        <v>140</v>
      </c>
      <c r="F838" s="3" t="str">
        <f t="shared" si="297"/>
        <v>100</v>
      </c>
      <c r="G838" s="3" t="str">
        <f t="shared" ref="G838:G843" si="301">"二级"</f>
        <v>二级</v>
      </c>
    </row>
    <row r="839" customHeight="1" spans="1:7">
      <c r="A839" s="3" t="str">
        <f>"2038"</f>
        <v>2038</v>
      </c>
      <c r="B839" s="3" t="s">
        <v>1442</v>
      </c>
      <c r="C839" s="3" t="str">
        <f>"裕南街街道"</f>
        <v>裕南街街道</v>
      </c>
      <c r="D839" s="3" t="str">
        <f>"石子冲社区"</f>
        <v>石子冲社区</v>
      </c>
      <c r="E839" s="3" t="str">
        <f t="shared" si="299"/>
        <v>140</v>
      </c>
      <c r="F839" s="3" t="str">
        <f t="shared" si="297"/>
        <v>100</v>
      </c>
      <c r="G839" s="3" t="str">
        <f t="shared" si="301"/>
        <v>二级</v>
      </c>
    </row>
    <row r="840" customHeight="1" spans="1:7">
      <c r="A840" s="3" t="str">
        <f>"2039"</f>
        <v>2039</v>
      </c>
      <c r="B840" s="3" t="s">
        <v>1032</v>
      </c>
      <c r="C840" s="3" t="str">
        <f t="shared" si="300"/>
        <v>坡子街街道</v>
      </c>
      <c r="D840" s="3" t="str">
        <f>"楚湘社区"</f>
        <v>楚湘社区</v>
      </c>
      <c r="E840" s="3" t="str">
        <f t="shared" si="299"/>
        <v>140</v>
      </c>
      <c r="F840" s="3" t="str">
        <f t="shared" si="297"/>
        <v>100</v>
      </c>
      <c r="G840" s="3" t="str">
        <f t="shared" ref="G840:G845" si="302">"一级"</f>
        <v>一级</v>
      </c>
    </row>
    <row r="841" customHeight="1" spans="1:7">
      <c r="A841" s="3" t="str">
        <f>"2040"</f>
        <v>2040</v>
      </c>
      <c r="B841" s="3" t="s">
        <v>1443</v>
      </c>
      <c r="C841" s="3" t="str">
        <f t="shared" si="300"/>
        <v>坡子街街道</v>
      </c>
      <c r="D841" s="3" t="str">
        <f>"青山祠社区"</f>
        <v>青山祠社区</v>
      </c>
      <c r="E841" s="3" t="str">
        <f t="shared" si="299"/>
        <v>140</v>
      </c>
      <c r="F841" s="3" t="str">
        <f t="shared" si="297"/>
        <v>100</v>
      </c>
      <c r="G841" s="3" t="str">
        <f t="shared" si="301"/>
        <v>二级</v>
      </c>
    </row>
    <row r="842" customHeight="1" spans="1:7">
      <c r="A842" s="3" t="str">
        <f>"2041"</f>
        <v>2041</v>
      </c>
      <c r="B842" s="3" t="s">
        <v>1444</v>
      </c>
      <c r="C842" s="3" t="str">
        <f>"赤岭路街道"</f>
        <v>赤岭路街道</v>
      </c>
      <c r="D842" s="3" t="str">
        <f>"南大桥社区"</f>
        <v>南大桥社区</v>
      </c>
      <c r="E842" s="3" t="str">
        <f t="shared" si="299"/>
        <v>140</v>
      </c>
      <c r="F842" s="3" t="str">
        <f t="shared" si="297"/>
        <v>100</v>
      </c>
      <c r="G842" s="3" t="str">
        <f t="shared" si="301"/>
        <v>二级</v>
      </c>
    </row>
    <row r="843" customHeight="1" spans="1:7">
      <c r="A843" s="3" t="str">
        <f>"2042"</f>
        <v>2042</v>
      </c>
      <c r="B843" s="3" t="s">
        <v>1227</v>
      </c>
      <c r="C843" s="3" t="str">
        <f>"坡子街街道"</f>
        <v>坡子街街道</v>
      </c>
      <c r="D843" s="3" t="str">
        <f>"楚湘社区"</f>
        <v>楚湘社区</v>
      </c>
      <c r="E843" s="3" t="str">
        <f t="shared" si="299"/>
        <v>140</v>
      </c>
      <c r="F843" s="3" t="str">
        <f t="shared" si="297"/>
        <v>100</v>
      </c>
      <c r="G843" s="3" t="str">
        <f t="shared" si="301"/>
        <v>二级</v>
      </c>
    </row>
    <row r="844" customHeight="1" spans="1:7">
      <c r="A844" s="3" t="str">
        <f>"2043"</f>
        <v>2043</v>
      </c>
      <c r="B844" s="3" t="s">
        <v>267</v>
      </c>
      <c r="C844" s="3" t="str">
        <f>"坡子街街道"</f>
        <v>坡子街街道</v>
      </c>
      <c r="D844" s="3" t="str">
        <f>"登仁桥社区"</f>
        <v>登仁桥社区</v>
      </c>
      <c r="E844" s="3" t="str">
        <f t="shared" si="299"/>
        <v>140</v>
      </c>
      <c r="F844" s="3" t="str">
        <f t="shared" si="297"/>
        <v>100</v>
      </c>
      <c r="G844" s="3" t="str">
        <f t="shared" si="302"/>
        <v>一级</v>
      </c>
    </row>
    <row r="845" customHeight="1" spans="1:7">
      <c r="A845" s="3" t="str">
        <f>"2044"</f>
        <v>2044</v>
      </c>
      <c r="B845" s="3" t="s">
        <v>586</v>
      </c>
      <c r="C845" s="3" t="str">
        <f>"桂花坪街道"</f>
        <v>桂花坪街道</v>
      </c>
      <c r="D845" s="3" t="str">
        <f>"桂庄社区"</f>
        <v>桂庄社区</v>
      </c>
      <c r="E845" s="3" t="str">
        <f t="shared" si="299"/>
        <v>140</v>
      </c>
      <c r="F845" s="3" t="str">
        <f t="shared" si="297"/>
        <v>100</v>
      </c>
      <c r="G845" s="3" t="str">
        <f t="shared" si="302"/>
        <v>一级</v>
      </c>
    </row>
    <row r="846" customHeight="1" spans="1:7">
      <c r="A846" s="3" t="str">
        <f>"2045"</f>
        <v>2045</v>
      </c>
      <c r="B846" s="3" t="s">
        <v>160</v>
      </c>
      <c r="C846" s="3" t="str">
        <f>"新开铺街道"</f>
        <v>新开铺街道</v>
      </c>
      <c r="D846" s="3" t="str">
        <f>"桥头社区"</f>
        <v>桥头社区</v>
      </c>
      <c r="E846" s="3" t="str">
        <f t="shared" si="299"/>
        <v>140</v>
      </c>
      <c r="F846" s="3" t="str">
        <f t="shared" si="297"/>
        <v>100</v>
      </c>
      <c r="G846" s="3" t="str">
        <f t="shared" ref="G846:G850" si="303">"二级"</f>
        <v>二级</v>
      </c>
    </row>
    <row r="847" customHeight="1" spans="1:7">
      <c r="A847" s="3" t="str">
        <f>"2046"</f>
        <v>2046</v>
      </c>
      <c r="B847" s="3" t="s">
        <v>1445</v>
      </c>
      <c r="C847" s="3" t="str">
        <f t="shared" ref="C847:C851" si="304">"赤岭路街道"</f>
        <v>赤岭路街道</v>
      </c>
      <c r="D847" s="3" t="str">
        <f>"芙蓉南路社区"</f>
        <v>芙蓉南路社区</v>
      </c>
      <c r="E847" s="3" t="str">
        <f t="shared" si="299"/>
        <v>140</v>
      </c>
      <c r="F847" s="3" t="str">
        <f t="shared" si="297"/>
        <v>100</v>
      </c>
      <c r="G847" s="3" t="str">
        <f t="shared" si="303"/>
        <v>二级</v>
      </c>
    </row>
    <row r="848" customHeight="1" spans="1:7">
      <c r="A848" s="3" t="str">
        <f>"2047"</f>
        <v>2047</v>
      </c>
      <c r="B848" s="3" t="s">
        <v>1446</v>
      </c>
      <c r="C848" s="3" t="str">
        <f>"裕南街街道"</f>
        <v>裕南街街道</v>
      </c>
      <c r="D848" s="3" t="str">
        <f>"长坡社区"</f>
        <v>长坡社区</v>
      </c>
      <c r="E848" s="3" t="str">
        <f t="shared" si="299"/>
        <v>140</v>
      </c>
      <c r="F848" s="3" t="str">
        <f t="shared" si="297"/>
        <v>100</v>
      </c>
      <c r="G848" s="3" t="str">
        <f>"一级"</f>
        <v>一级</v>
      </c>
    </row>
    <row r="849" customHeight="1" spans="1:7">
      <c r="A849" s="3" t="str">
        <f>"2048"</f>
        <v>2048</v>
      </c>
      <c r="B849" s="3" t="s">
        <v>1447</v>
      </c>
      <c r="C849" s="3" t="str">
        <f>"坡子街街道"</f>
        <v>坡子街街道</v>
      </c>
      <c r="D849" s="3" t="str">
        <f>"青山祠社区"</f>
        <v>青山祠社区</v>
      </c>
      <c r="E849" s="3" t="str">
        <f t="shared" si="299"/>
        <v>140</v>
      </c>
      <c r="F849" s="3" t="str">
        <f t="shared" si="297"/>
        <v>100</v>
      </c>
      <c r="G849" s="3" t="str">
        <f t="shared" si="303"/>
        <v>二级</v>
      </c>
    </row>
    <row r="850" customHeight="1" spans="1:7">
      <c r="A850" s="3" t="str">
        <f>"2049"</f>
        <v>2049</v>
      </c>
      <c r="B850" s="3" t="s">
        <v>604</v>
      </c>
      <c r="C850" s="3" t="str">
        <f t="shared" si="304"/>
        <v>赤岭路街道</v>
      </c>
      <c r="D850" s="3" t="str">
        <f>"新丰社区"</f>
        <v>新丰社区</v>
      </c>
      <c r="E850" s="3" t="str">
        <f t="shared" si="299"/>
        <v>140</v>
      </c>
      <c r="F850" s="3" t="str">
        <f t="shared" si="297"/>
        <v>100</v>
      </c>
      <c r="G850" s="3" t="str">
        <f t="shared" si="303"/>
        <v>二级</v>
      </c>
    </row>
    <row r="851" customHeight="1" spans="1:7">
      <c r="A851" s="3" t="str">
        <f>"2050"</f>
        <v>2050</v>
      </c>
      <c r="B851" s="3" t="s">
        <v>135</v>
      </c>
      <c r="C851" s="3" t="str">
        <f t="shared" si="304"/>
        <v>赤岭路街道</v>
      </c>
      <c r="D851" s="3" t="str">
        <f>"广厦新村社区"</f>
        <v>广厦新村社区</v>
      </c>
      <c r="E851" s="3" t="str">
        <f t="shared" si="299"/>
        <v>140</v>
      </c>
      <c r="F851" s="3" t="str">
        <f t="shared" si="297"/>
        <v>100</v>
      </c>
      <c r="G851" s="3" t="str">
        <f>"一级"</f>
        <v>一级</v>
      </c>
    </row>
    <row r="852" customHeight="1" spans="1:7">
      <c r="A852" s="3" t="str">
        <f>"2051"</f>
        <v>2051</v>
      </c>
      <c r="B852" s="3" t="s">
        <v>1448</v>
      </c>
      <c r="C852" s="3" t="str">
        <f>"城南路街道"</f>
        <v>城南路街道</v>
      </c>
      <c r="D852" s="3" t="str">
        <f>"熙台岭社区"</f>
        <v>熙台岭社区</v>
      </c>
      <c r="E852" s="3" t="str">
        <f t="shared" si="299"/>
        <v>140</v>
      </c>
      <c r="F852" s="3" t="str">
        <f t="shared" si="297"/>
        <v>100</v>
      </c>
      <c r="G852" s="3" t="str">
        <f t="shared" ref="G852:G857" si="305">"二级"</f>
        <v>二级</v>
      </c>
    </row>
    <row r="853" customHeight="1" spans="1:7">
      <c r="A853" s="3" t="str">
        <f>"2052"</f>
        <v>2052</v>
      </c>
      <c r="B853" s="3" t="s">
        <v>1449</v>
      </c>
      <c r="C853" s="3" t="str">
        <f>"坡子街街道"</f>
        <v>坡子街街道</v>
      </c>
      <c r="D853" s="3" t="str">
        <f>"碧湘社区"</f>
        <v>碧湘社区</v>
      </c>
      <c r="E853" s="3" t="str">
        <f t="shared" si="299"/>
        <v>140</v>
      </c>
      <c r="F853" s="3" t="str">
        <f t="shared" si="297"/>
        <v>100</v>
      </c>
      <c r="G853" s="3" t="str">
        <f t="shared" si="305"/>
        <v>二级</v>
      </c>
    </row>
    <row r="854" customHeight="1" spans="1:7">
      <c r="A854" s="3" t="str">
        <f>"2053"</f>
        <v>2053</v>
      </c>
      <c r="B854" s="3" t="s">
        <v>1450</v>
      </c>
      <c r="C854" s="3" t="str">
        <f>"城南路街道"</f>
        <v>城南路街道</v>
      </c>
      <c r="D854" s="3" t="str">
        <f>"城南中路社区"</f>
        <v>城南中路社区</v>
      </c>
      <c r="E854" s="3" t="str">
        <f t="shared" si="299"/>
        <v>140</v>
      </c>
      <c r="F854" s="3" t="str">
        <f t="shared" si="297"/>
        <v>100</v>
      </c>
      <c r="G854" s="3" t="str">
        <f t="shared" si="305"/>
        <v>二级</v>
      </c>
    </row>
    <row r="855" customHeight="1" spans="1:7">
      <c r="A855" s="3" t="str">
        <f>"2054"</f>
        <v>2054</v>
      </c>
      <c r="B855" s="3" t="s">
        <v>1451</v>
      </c>
      <c r="C855" s="3" t="str">
        <f>"坡子街街道"</f>
        <v>坡子街街道</v>
      </c>
      <c r="D855" s="3" t="str">
        <f>"八角亭社区"</f>
        <v>八角亭社区</v>
      </c>
      <c r="E855" s="3" t="str">
        <f t="shared" si="299"/>
        <v>140</v>
      </c>
      <c r="F855" s="3" t="str">
        <f t="shared" si="297"/>
        <v>100</v>
      </c>
      <c r="G855" s="3" t="str">
        <f t="shared" si="305"/>
        <v>二级</v>
      </c>
    </row>
    <row r="856" customHeight="1" spans="1:7">
      <c r="A856" s="3" t="str">
        <f>"2055"</f>
        <v>2055</v>
      </c>
      <c r="B856" s="3" t="s">
        <v>1452</v>
      </c>
      <c r="C856" s="3" t="str">
        <f>"金盆岭街道"</f>
        <v>金盆岭街道</v>
      </c>
      <c r="D856" s="3" t="str">
        <f>"黄土岭社区"</f>
        <v>黄土岭社区</v>
      </c>
      <c r="E856" s="3" t="str">
        <f t="shared" si="299"/>
        <v>140</v>
      </c>
      <c r="F856" s="3" t="str">
        <f t="shared" si="297"/>
        <v>100</v>
      </c>
      <c r="G856" s="3" t="str">
        <f t="shared" si="305"/>
        <v>二级</v>
      </c>
    </row>
    <row r="857" customHeight="1" spans="1:7">
      <c r="A857" s="3" t="str">
        <f>"2056"</f>
        <v>2056</v>
      </c>
      <c r="B857" s="3" t="s">
        <v>238</v>
      </c>
      <c r="C857" s="3" t="str">
        <f>"赤岭路街道"</f>
        <v>赤岭路街道</v>
      </c>
      <c r="D857" s="3" t="str">
        <f>"新丰社区"</f>
        <v>新丰社区</v>
      </c>
      <c r="E857" s="3" t="str">
        <f t="shared" si="299"/>
        <v>140</v>
      </c>
      <c r="F857" s="3" t="str">
        <f t="shared" si="297"/>
        <v>100</v>
      </c>
      <c r="G857" s="3" t="str">
        <f t="shared" si="305"/>
        <v>二级</v>
      </c>
    </row>
    <row r="858" customHeight="1" spans="1:7">
      <c r="A858" s="3" t="str">
        <f>"2057"</f>
        <v>2057</v>
      </c>
      <c r="B858" s="3" t="s">
        <v>1453</v>
      </c>
      <c r="C858" s="3" t="str">
        <f>"文源街道"</f>
        <v>文源街道</v>
      </c>
      <c r="D858" s="3" t="str">
        <f>"文源社区"</f>
        <v>文源社区</v>
      </c>
      <c r="E858" s="3" t="str">
        <f t="shared" si="299"/>
        <v>140</v>
      </c>
      <c r="F858" s="3" t="str">
        <f t="shared" si="297"/>
        <v>100</v>
      </c>
      <c r="G858" s="3" t="str">
        <f>"一级"</f>
        <v>一级</v>
      </c>
    </row>
    <row r="859" customHeight="1" spans="1:7">
      <c r="A859" s="3" t="str">
        <f>"2058"</f>
        <v>2058</v>
      </c>
      <c r="B859" s="3" t="s">
        <v>1454</v>
      </c>
      <c r="C859" s="3" t="str">
        <f>"青园街道"</f>
        <v>青园街道</v>
      </c>
      <c r="D859" s="3" t="str">
        <f>"井湾子社区"</f>
        <v>井湾子社区</v>
      </c>
      <c r="E859" s="3" t="str">
        <f t="shared" si="299"/>
        <v>140</v>
      </c>
      <c r="F859" s="3" t="str">
        <f t="shared" si="297"/>
        <v>100</v>
      </c>
      <c r="G859" s="3" t="str">
        <f t="shared" ref="G859:G862" si="306">"二级"</f>
        <v>二级</v>
      </c>
    </row>
    <row r="860" customHeight="1" spans="1:7">
      <c r="A860" s="3" t="str">
        <f>"2059"</f>
        <v>2059</v>
      </c>
      <c r="B860" s="3" t="s">
        <v>1455</v>
      </c>
      <c r="C860" s="3" t="str">
        <f>"金盆岭街道"</f>
        <v>金盆岭街道</v>
      </c>
      <c r="D860" s="3" t="str">
        <f>"天剑社区"</f>
        <v>天剑社区</v>
      </c>
      <c r="E860" s="3" t="str">
        <f t="shared" si="299"/>
        <v>140</v>
      </c>
      <c r="F860" s="3" t="str">
        <f t="shared" si="297"/>
        <v>100</v>
      </c>
      <c r="G860" s="3" t="str">
        <f t="shared" si="306"/>
        <v>二级</v>
      </c>
    </row>
    <row r="861" customHeight="1" spans="1:7">
      <c r="A861" s="3" t="str">
        <f>"2060"</f>
        <v>2060</v>
      </c>
      <c r="B861" s="3" t="s">
        <v>139</v>
      </c>
      <c r="C861" s="3" t="str">
        <f t="shared" ref="C861:C865" si="307">"坡子街街道"</f>
        <v>坡子街街道</v>
      </c>
      <c r="D861" s="3" t="str">
        <f>"楚湘社区"</f>
        <v>楚湘社区</v>
      </c>
      <c r="E861" s="3" t="str">
        <f t="shared" si="299"/>
        <v>140</v>
      </c>
      <c r="F861" s="3" t="str">
        <f t="shared" si="297"/>
        <v>100</v>
      </c>
      <c r="G861" s="3" t="str">
        <f t="shared" si="306"/>
        <v>二级</v>
      </c>
    </row>
    <row r="862" customHeight="1" spans="1:7">
      <c r="A862" s="3" t="str">
        <f>"2061"</f>
        <v>2061</v>
      </c>
      <c r="B862" s="3" t="s">
        <v>1456</v>
      </c>
      <c r="C862" s="3" t="str">
        <f>"金盆岭街道"</f>
        <v>金盆岭街道</v>
      </c>
      <c r="D862" s="3" t="str">
        <f>"天剑社区"</f>
        <v>天剑社区</v>
      </c>
      <c r="E862" s="3" t="str">
        <f t="shared" si="299"/>
        <v>140</v>
      </c>
      <c r="F862" s="3" t="str">
        <f t="shared" si="297"/>
        <v>100</v>
      </c>
      <c r="G862" s="3" t="str">
        <f t="shared" si="306"/>
        <v>二级</v>
      </c>
    </row>
    <row r="863" customHeight="1" spans="1:7">
      <c r="A863" s="3" t="str">
        <f>"2062"</f>
        <v>2062</v>
      </c>
      <c r="B863" s="3" t="s">
        <v>1457</v>
      </c>
      <c r="C863" s="3" t="str">
        <f>"大托铺街道"</f>
        <v>大托铺街道</v>
      </c>
      <c r="D863" s="3" t="str">
        <f>"黄合村委会"</f>
        <v>黄合村委会</v>
      </c>
      <c r="E863" s="3" t="str">
        <f t="shared" si="299"/>
        <v>140</v>
      </c>
      <c r="F863" s="3" t="str">
        <f t="shared" si="297"/>
        <v>100</v>
      </c>
      <c r="G863" s="3" t="str">
        <f t="shared" ref="G863:G867" si="308">"一级"</f>
        <v>一级</v>
      </c>
    </row>
    <row r="864" customHeight="1" spans="1:7">
      <c r="A864" s="3" t="str">
        <f>"2063"</f>
        <v>2063</v>
      </c>
      <c r="B864" s="3" t="s">
        <v>76</v>
      </c>
      <c r="C864" s="3" t="str">
        <f t="shared" si="307"/>
        <v>坡子街街道</v>
      </c>
      <c r="D864" s="3" t="str">
        <f>"创远社区"</f>
        <v>创远社区</v>
      </c>
      <c r="E864" s="3" t="str">
        <f t="shared" si="299"/>
        <v>140</v>
      </c>
      <c r="F864" s="3" t="str">
        <f t="shared" si="297"/>
        <v>100</v>
      </c>
      <c r="G864" s="3" t="str">
        <f t="shared" ref="G864:G871" si="309">"二级"</f>
        <v>二级</v>
      </c>
    </row>
    <row r="865" customHeight="1" spans="1:7">
      <c r="A865" s="3" t="str">
        <f>"2064"</f>
        <v>2064</v>
      </c>
      <c r="B865" s="3" t="s">
        <v>1458</v>
      </c>
      <c r="C865" s="3" t="str">
        <f t="shared" si="307"/>
        <v>坡子街街道</v>
      </c>
      <c r="D865" s="3" t="str">
        <f>"登仁桥社区"</f>
        <v>登仁桥社区</v>
      </c>
      <c r="E865" s="3" t="str">
        <f t="shared" si="299"/>
        <v>140</v>
      </c>
      <c r="F865" s="3" t="str">
        <f t="shared" si="297"/>
        <v>100</v>
      </c>
      <c r="G865" s="3" t="str">
        <f t="shared" si="308"/>
        <v>一级</v>
      </c>
    </row>
    <row r="866" customHeight="1" spans="1:7">
      <c r="A866" s="3" t="str">
        <f>"2065"</f>
        <v>2065</v>
      </c>
      <c r="B866" s="3" t="s">
        <v>1459</v>
      </c>
      <c r="C866" s="3" t="str">
        <f>"金盆岭街道"</f>
        <v>金盆岭街道</v>
      </c>
      <c r="D866" s="3" t="str">
        <f>"赤岭路社区"</f>
        <v>赤岭路社区</v>
      </c>
      <c r="E866" s="3" t="str">
        <f t="shared" si="299"/>
        <v>140</v>
      </c>
      <c r="F866" s="3" t="str">
        <f t="shared" si="297"/>
        <v>100</v>
      </c>
      <c r="G866" s="3" t="str">
        <f t="shared" si="308"/>
        <v>一级</v>
      </c>
    </row>
    <row r="867" customHeight="1" spans="1:7">
      <c r="A867" s="3" t="str">
        <f>"2066"</f>
        <v>2066</v>
      </c>
      <c r="B867" s="3" t="s">
        <v>1460</v>
      </c>
      <c r="C867" s="3" t="str">
        <f>"青园街道"</f>
        <v>青园街道</v>
      </c>
      <c r="D867" s="3" t="str">
        <f>"井湾子社区"</f>
        <v>井湾子社区</v>
      </c>
      <c r="E867" s="3" t="str">
        <f t="shared" si="299"/>
        <v>140</v>
      </c>
      <c r="F867" s="3" t="str">
        <f t="shared" si="297"/>
        <v>100</v>
      </c>
      <c r="G867" s="3" t="str">
        <f t="shared" si="308"/>
        <v>一级</v>
      </c>
    </row>
    <row r="868" customHeight="1" spans="1:7">
      <c r="A868" s="3" t="str">
        <f>"2067"</f>
        <v>2067</v>
      </c>
      <c r="B868" s="3" t="s">
        <v>1461</v>
      </c>
      <c r="C868" s="3" t="str">
        <f>"新开铺街道"</f>
        <v>新开铺街道</v>
      </c>
      <c r="D868" s="3" t="str">
        <f>"新天村委会"</f>
        <v>新天村委会</v>
      </c>
      <c r="E868" s="3" t="str">
        <f t="shared" si="299"/>
        <v>140</v>
      </c>
      <c r="F868" s="3" t="str">
        <f t="shared" si="297"/>
        <v>100</v>
      </c>
      <c r="G868" s="3" t="str">
        <f t="shared" si="309"/>
        <v>二级</v>
      </c>
    </row>
    <row r="869" customHeight="1" spans="1:7">
      <c r="A869" s="3" t="str">
        <f>"2068"</f>
        <v>2068</v>
      </c>
      <c r="B869" s="3" t="s">
        <v>1462</v>
      </c>
      <c r="C869" s="3" t="str">
        <f>"坡子街街道"</f>
        <v>坡子街街道</v>
      </c>
      <c r="D869" s="3" t="str">
        <f>"青山祠社区"</f>
        <v>青山祠社区</v>
      </c>
      <c r="E869" s="3" t="str">
        <f t="shared" si="299"/>
        <v>140</v>
      </c>
      <c r="F869" s="3" t="str">
        <f t="shared" si="297"/>
        <v>100</v>
      </c>
      <c r="G869" s="3" t="str">
        <f t="shared" si="309"/>
        <v>二级</v>
      </c>
    </row>
    <row r="870" customHeight="1" spans="1:7">
      <c r="A870" s="3" t="str">
        <f>"2069"</f>
        <v>2069</v>
      </c>
      <c r="B870" s="3" t="s">
        <v>1463</v>
      </c>
      <c r="C870" s="3" t="str">
        <f>"金盆岭街道"</f>
        <v>金盆岭街道</v>
      </c>
      <c r="D870" s="3" t="str">
        <f>"夏家冲社区"</f>
        <v>夏家冲社区</v>
      </c>
      <c r="E870" s="3" t="str">
        <f t="shared" si="299"/>
        <v>140</v>
      </c>
      <c r="F870" s="3" t="str">
        <f t="shared" si="297"/>
        <v>100</v>
      </c>
      <c r="G870" s="3" t="str">
        <f t="shared" si="309"/>
        <v>二级</v>
      </c>
    </row>
    <row r="871" customHeight="1" spans="1:7">
      <c r="A871" s="3" t="str">
        <f>"2070"</f>
        <v>2070</v>
      </c>
      <c r="B871" s="3" t="s">
        <v>1464</v>
      </c>
      <c r="C871" s="3" t="str">
        <f t="shared" ref="C871:C875" si="310">"裕南街街道"</f>
        <v>裕南街街道</v>
      </c>
      <c r="D871" s="3" t="str">
        <f>"火把山社区"</f>
        <v>火把山社区</v>
      </c>
      <c r="E871" s="3" t="str">
        <f t="shared" si="299"/>
        <v>140</v>
      </c>
      <c r="F871" s="3" t="str">
        <f t="shared" si="297"/>
        <v>100</v>
      </c>
      <c r="G871" s="3" t="str">
        <f t="shared" si="309"/>
        <v>二级</v>
      </c>
    </row>
    <row r="872" customHeight="1" spans="1:7">
      <c r="A872" s="3" t="str">
        <f>"2071"</f>
        <v>2071</v>
      </c>
      <c r="B872" s="3" t="s">
        <v>1465</v>
      </c>
      <c r="C872" s="3" t="str">
        <f>"大托铺街道"</f>
        <v>大托铺街道</v>
      </c>
      <c r="D872" s="3" t="str">
        <f>"兴隆村委会"</f>
        <v>兴隆村委会</v>
      </c>
      <c r="E872" s="3" t="str">
        <f t="shared" si="299"/>
        <v>140</v>
      </c>
      <c r="F872" s="3" t="str">
        <f t="shared" si="297"/>
        <v>100</v>
      </c>
      <c r="G872" s="3" t="str">
        <f>"一级"</f>
        <v>一级</v>
      </c>
    </row>
    <row r="873" customHeight="1" spans="1:7">
      <c r="A873" s="3" t="str">
        <f>"2072"</f>
        <v>2072</v>
      </c>
      <c r="B873" s="3" t="s">
        <v>872</v>
      </c>
      <c r="C873" s="3" t="str">
        <f>"赤岭路街道"</f>
        <v>赤岭路街道</v>
      </c>
      <c r="D873" s="3" t="str">
        <f>"广厦新村社区"</f>
        <v>广厦新村社区</v>
      </c>
      <c r="E873" s="3" t="str">
        <f t="shared" si="299"/>
        <v>140</v>
      </c>
      <c r="F873" s="3" t="str">
        <f t="shared" si="297"/>
        <v>100</v>
      </c>
      <c r="G873" s="3" t="str">
        <f t="shared" ref="G873:G879" si="311">"二级"</f>
        <v>二级</v>
      </c>
    </row>
    <row r="874" customHeight="1" spans="1:7">
      <c r="A874" s="3" t="str">
        <f>"2073"</f>
        <v>2073</v>
      </c>
      <c r="B874" s="3" t="s">
        <v>1331</v>
      </c>
      <c r="C874" s="3" t="str">
        <f t="shared" si="310"/>
        <v>裕南街街道</v>
      </c>
      <c r="D874" s="3" t="str">
        <f>"长坡社区"</f>
        <v>长坡社区</v>
      </c>
      <c r="E874" s="3" t="str">
        <f t="shared" si="299"/>
        <v>140</v>
      </c>
      <c r="F874" s="3" t="str">
        <f t="shared" si="297"/>
        <v>100</v>
      </c>
      <c r="G874" s="3" t="str">
        <f t="shared" si="311"/>
        <v>二级</v>
      </c>
    </row>
    <row r="875" customHeight="1" spans="1:7">
      <c r="A875" s="3" t="str">
        <f>"2074"</f>
        <v>2074</v>
      </c>
      <c r="B875" s="3" t="s">
        <v>1466</v>
      </c>
      <c r="C875" s="3" t="str">
        <f t="shared" si="310"/>
        <v>裕南街街道</v>
      </c>
      <c r="D875" s="3" t="str">
        <f>"东瓜山社区"</f>
        <v>东瓜山社区</v>
      </c>
      <c r="E875" s="3" t="str">
        <f t="shared" si="299"/>
        <v>140</v>
      </c>
      <c r="F875" s="3" t="str">
        <f t="shared" si="297"/>
        <v>100</v>
      </c>
      <c r="G875" s="3" t="str">
        <f t="shared" si="311"/>
        <v>二级</v>
      </c>
    </row>
    <row r="876" customHeight="1" spans="1:7">
      <c r="A876" s="3" t="str">
        <f>"2075"</f>
        <v>2075</v>
      </c>
      <c r="B876" s="3" t="s">
        <v>139</v>
      </c>
      <c r="C876" s="3" t="str">
        <f>"赤岭路街道"</f>
        <v>赤岭路街道</v>
      </c>
      <c r="D876" s="3" t="str">
        <f>"新丰社区"</f>
        <v>新丰社区</v>
      </c>
      <c r="E876" s="3" t="str">
        <f t="shared" si="299"/>
        <v>140</v>
      </c>
      <c r="F876" s="3" t="str">
        <f t="shared" si="297"/>
        <v>100</v>
      </c>
      <c r="G876" s="3" t="str">
        <f t="shared" si="311"/>
        <v>二级</v>
      </c>
    </row>
    <row r="877" customHeight="1" spans="1:7">
      <c r="A877" s="3" t="str">
        <f>"2076"</f>
        <v>2076</v>
      </c>
      <c r="B877" s="3" t="s">
        <v>1397</v>
      </c>
      <c r="C877" s="3" t="str">
        <f t="shared" ref="C877:C880" si="312">"金盆岭街道"</f>
        <v>金盆岭街道</v>
      </c>
      <c r="D877" s="3" t="str">
        <f>"天剑社区"</f>
        <v>天剑社区</v>
      </c>
      <c r="E877" s="3" t="str">
        <f t="shared" si="299"/>
        <v>140</v>
      </c>
      <c r="F877" s="3" t="str">
        <f t="shared" si="297"/>
        <v>100</v>
      </c>
      <c r="G877" s="3" t="str">
        <f t="shared" si="311"/>
        <v>二级</v>
      </c>
    </row>
    <row r="878" customHeight="1" spans="1:7">
      <c r="A878" s="3" t="str">
        <f>"2077"</f>
        <v>2077</v>
      </c>
      <c r="B878" s="3" t="s">
        <v>1467</v>
      </c>
      <c r="C878" s="3" t="str">
        <f t="shared" si="312"/>
        <v>金盆岭街道</v>
      </c>
      <c r="D878" s="3" t="str">
        <f>"狮子山社区"</f>
        <v>狮子山社区</v>
      </c>
      <c r="E878" s="3" t="str">
        <f t="shared" si="299"/>
        <v>140</v>
      </c>
      <c r="F878" s="3" t="str">
        <f t="shared" si="297"/>
        <v>100</v>
      </c>
      <c r="G878" s="3" t="str">
        <f t="shared" si="311"/>
        <v>二级</v>
      </c>
    </row>
    <row r="879" customHeight="1" spans="1:7">
      <c r="A879" s="3" t="str">
        <f>"2078"</f>
        <v>2078</v>
      </c>
      <c r="B879" s="3" t="s">
        <v>1468</v>
      </c>
      <c r="C879" s="3" t="str">
        <f>"新开铺街道"</f>
        <v>新开铺街道</v>
      </c>
      <c r="D879" s="3" t="str">
        <f>"豹子岭社区"</f>
        <v>豹子岭社区</v>
      </c>
      <c r="E879" s="3" t="str">
        <f t="shared" si="299"/>
        <v>140</v>
      </c>
      <c r="F879" s="3" t="str">
        <f t="shared" si="297"/>
        <v>100</v>
      </c>
      <c r="G879" s="3" t="str">
        <f t="shared" si="311"/>
        <v>二级</v>
      </c>
    </row>
    <row r="880" customHeight="1" spans="1:7">
      <c r="A880" s="3" t="str">
        <f>"2079"</f>
        <v>2079</v>
      </c>
      <c r="B880" s="3" t="s">
        <v>72</v>
      </c>
      <c r="C880" s="3" t="str">
        <f t="shared" si="312"/>
        <v>金盆岭街道</v>
      </c>
      <c r="D880" s="3" t="str">
        <f>"夏家冲社区"</f>
        <v>夏家冲社区</v>
      </c>
      <c r="E880" s="3" t="str">
        <f t="shared" si="299"/>
        <v>140</v>
      </c>
      <c r="F880" s="3" t="str">
        <f t="shared" si="297"/>
        <v>100</v>
      </c>
      <c r="G880" s="3" t="str">
        <f t="shared" ref="G880:G884" si="313">"一级"</f>
        <v>一级</v>
      </c>
    </row>
    <row r="881" customHeight="1" spans="1:7">
      <c r="A881" s="3" t="str">
        <f>"2080"</f>
        <v>2080</v>
      </c>
      <c r="B881" s="3" t="s">
        <v>141</v>
      </c>
      <c r="C881" s="3" t="str">
        <f>"裕南街街道"</f>
        <v>裕南街街道</v>
      </c>
      <c r="D881" s="3" t="str">
        <f>"长坡社区"</f>
        <v>长坡社区</v>
      </c>
      <c r="E881" s="3" t="str">
        <f t="shared" si="299"/>
        <v>140</v>
      </c>
      <c r="F881" s="3" t="str">
        <f t="shared" si="297"/>
        <v>100</v>
      </c>
      <c r="G881" s="3" t="str">
        <f t="shared" si="313"/>
        <v>一级</v>
      </c>
    </row>
    <row r="882" customHeight="1" spans="1:7">
      <c r="A882" s="3" t="str">
        <f>"2081"</f>
        <v>2081</v>
      </c>
      <c r="B882" s="3" t="s">
        <v>1469</v>
      </c>
      <c r="C882" s="3" t="str">
        <f>"裕南街街道"</f>
        <v>裕南街街道</v>
      </c>
      <c r="D882" s="3" t="str">
        <f>"石子冲社区"</f>
        <v>石子冲社区</v>
      </c>
      <c r="E882" s="3" t="str">
        <f t="shared" si="299"/>
        <v>140</v>
      </c>
      <c r="F882" s="3" t="str">
        <f t="shared" si="297"/>
        <v>100</v>
      </c>
      <c r="G882" s="3" t="str">
        <f t="shared" ref="G882:G885" si="314">"二级"</f>
        <v>二级</v>
      </c>
    </row>
    <row r="883" customHeight="1" spans="1:7">
      <c r="A883" s="3" t="str">
        <f>"2082"</f>
        <v>2082</v>
      </c>
      <c r="B883" s="3" t="s">
        <v>461</v>
      </c>
      <c r="C883" s="3" t="str">
        <f>"金盆岭街道"</f>
        <v>金盆岭街道</v>
      </c>
      <c r="D883" s="3" t="str">
        <f>"狮子山社区"</f>
        <v>狮子山社区</v>
      </c>
      <c r="E883" s="3" t="str">
        <f t="shared" si="299"/>
        <v>140</v>
      </c>
      <c r="F883" s="3" t="str">
        <f t="shared" si="297"/>
        <v>100</v>
      </c>
      <c r="G883" s="3" t="str">
        <f t="shared" si="314"/>
        <v>二级</v>
      </c>
    </row>
    <row r="884" customHeight="1" spans="1:7">
      <c r="A884" s="3" t="str">
        <f>"2083"</f>
        <v>2083</v>
      </c>
      <c r="B884" s="3" t="s">
        <v>1470</v>
      </c>
      <c r="C884" s="3" t="str">
        <f>"赤岭路街道"</f>
        <v>赤岭路街道</v>
      </c>
      <c r="D884" s="3" t="str">
        <f>"新丰社区"</f>
        <v>新丰社区</v>
      </c>
      <c r="E884" s="3" t="str">
        <f t="shared" si="299"/>
        <v>140</v>
      </c>
      <c r="F884" s="3" t="str">
        <f t="shared" si="297"/>
        <v>100</v>
      </c>
      <c r="G884" s="3" t="str">
        <f t="shared" si="313"/>
        <v>一级</v>
      </c>
    </row>
    <row r="885" customHeight="1" spans="1:7">
      <c r="A885" s="3" t="str">
        <f>"2084"</f>
        <v>2084</v>
      </c>
      <c r="B885" s="3" t="s">
        <v>1471</v>
      </c>
      <c r="C885" s="3" t="str">
        <f>"坡子街街道"</f>
        <v>坡子街街道</v>
      </c>
      <c r="D885" s="3" t="str">
        <f>"青山祠社区"</f>
        <v>青山祠社区</v>
      </c>
      <c r="E885" s="3" t="str">
        <f t="shared" si="299"/>
        <v>140</v>
      </c>
      <c r="F885" s="3" t="str">
        <f t="shared" si="297"/>
        <v>100</v>
      </c>
      <c r="G885" s="3" t="str">
        <f t="shared" si="314"/>
        <v>二级</v>
      </c>
    </row>
    <row r="886" customHeight="1" spans="1:7">
      <c r="A886" s="3" t="str">
        <f>"2085"</f>
        <v>2085</v>
      </c>
      <c r="B886" s="3" t="s">
        <v>1472</v>
      </c>
      <c r="C886" s="3" t="str">
        <f t="shared" ref="C886:C888" si="315">"青园街道"</f>
        <v>青园街道</v>
      </c>
      <c r="D886" s="3" t="str">
        <f>"青园社区"</f>
        <v>青园社区</v>
      </c>
      <c r="E886" s="3" t="str">
        <f t="shared" si="299"/>
        <v>140</v>
      </c>
      <c r="F886" s="3" t="str">
        <f t="shared" si="297"/>
        <v>100</v>
      </c>
      <c r="G886" s="3" t="str">
        <f>"一级"</f>
        <v>一级</v>
      </c>
    </row>
    <row r="887" customHeight="1" spans="1:7">
      <c r="A887" s="3" t="str">
        <f>"2086"</f>
        <v>2086</v>
      </c>
      <c r="B887" s="3" t="s">
        <v>1473</v>
      </c>
      <c r="C887" s="3" t="str">
        <f t="shared" si="315"/>
        <v>青园街道</v>
      </c>
      <c r="D887" s="3" t="str">
        <f t="shared" ref="D887:D891" si="316">"井湾子社区"</f>
        <v>井湾子社区</v>
      </c>
      <c r="E887" s="3" t="str">
        <f t="shared" si="299"/>
        <v>140</v>
      </c>
      <c r="F887" s="3" t="str">
        <f t="shared" si="297"/>
        <v>100</v>
      </c>
      <c r="G887" s="3" t="str">
        <f t="shared" ref="G887:G891" si="317">"二级"</f>
        <v>二级</v>
      </c>
    </row>
    <row r="888" customHeight="1" spans="1:7">
      <c r="A888" s="3" t="str">
        <f>"2087"</f>
        <v>2087</v>
      </c>
      <c r="B888" s="3" t="s">
        <v>1419</v>
      </c>
      <c r="C888" s="3" t="str">
        <f t="shared" si="315"/>
        <v>青园街道</v>
      </c>
      <c r="D888" s="3" t="str">
        <f t="shared" si="316"/>
        <v>井湾子社区</v>
      </c>
      <c r="E888" s="3" t="str">
        <f t="shared" si="299"/>
        <v>140</v>
      </c>
      <c r="F888" s="3" t="str">
        <f t="shared" si="297"/>
        <v>100</v>
      </c>
      <c r="G888" s="3" t="str">
        <f t="shared" si="317"/>
        <v>二级</v>
      </c>
    </row>
    <row r="889" customHeight="1" spans="1:7">
      <c r="A889" s="3" t="str">
        <f>"2088"</f>
        <v>2088</v>
      </c>
      <c r="B889" s="3" t="s">
        <v>1474</v>
      </c>
      <c r="C889" s="3" t="str">
        <f>"坡子街街道"</f>
        <v>坡子街街道</v>
      </c>
      <c r="D889" s="3" t="str">
        <f>"西湖社区"</f>
        <v>西湖社区</v>
      </c>
      <c r="E889" s="3" t="str">
        <f t="shared" si="299"/>
        <v>140</v>
      </c>
      <c r="F889" s="3" t="str">
        <f t="shared" si="297"/>
        <v>100</v>
      </c>
      <c r="G889" s="3" t="str">
        <f t="shared" si="317"/>
        <v>二级</v>
      </c>
    </row>
    <row r="890" customHeight="1" spans="1:7">
      <c r="A890" s="3" t="str">
        <f>"2089"</f>
        <v>2089</v>
      </c>
      <c r="B890" s="3" t="s">
        <v>1475</v>
      </c>
      <c r="C890" s="3" t="str">
        <f>"金盆岭街道"</f>
        <v>金盆岭街道</v>
      </c>
      <c r="D890" s="3" t="str">
        <f>"天剑社区"</f>
        <v>天剑社区</v>
      </c>
      <c r="E890" s="3" t="str">
        <f t="shared" si="299"/>
        <v>140</v>
      </c>
      <c r="F890" s="3" t="str">
        <f t="shared" si="297"/>
        <v>100</v>
      </c>
      <c r="G890" s="3" t="str">
        <f t="shared" si="317"/>
        <v>二级</v>
      </c>
    </row>
    <row r="891" customHeight="1" spans="1:7">
      <c r="A891" s="3" t="str">
        <f>"2090"</f>
        <v>2090</v>
      </c>
      <c r="B891" s="3" t="s">
        <v>1476</v>
      </c>
      <c r="C891" s="3" t="str">
        <f>"青园街道"</f>
        <v>青园街道</v>
      </c>
      <c r="D891" s="3" t="str">
        <f t="shared" si="316"/>
        <v>井湾子社区</v>
      </c>
      <c r="E891" s="3" t="str">
        <f t="shared" si="299"/>
        <v>140</v>
      </c>
      <c r="F891" s="3" t="str">
        <f t="shared" si="297"/>
        <v>100</v>
      </c>
      <c r="G891" s="3" t="str">
        <f t="shared" si="317"/>
        <v>二级</v>
      </c>
    </row>
    <row r="892" customHeight="1" spans="1:7">
      <c r="A892" s="3" t="str">
        <f>"2091"</f>
        <v>2091</v>
      </c>
      <c r="B892" s="3" t="s">
        <v>80</v>
      </c>
      <c r="C892" s="3" t="str">
        <f>"裕南街街道"</f>
        <v>裕南街街道</v>
      </c>
      <c r="D892" s="3" t="str">
        <f>"火把山社区"</f>
        <v>火把山社区</v>
      </c>
      <c r="E892" s="3" t="str">
        <f t="shared" si="299"/>
        <v>140</v>
      </c>
      <c r="F892" s="3" t="str">
        <f t="shared" si="297"/>
        <v>100</v>
      </c>
      <c r="G892" s="3" t="str">
        <f t="shared" ref="G892:G897" si="318">"一级"</f>
        <v>一级</v>
      </c>
    </row>
    <row r="893" customHeight="1" spans="1:7">
      <c r="A893" s="3" t="str">
        <f>"2092"</f>
        <v>2092</v>
      </c>
      <c r="B893" s="3" t="s">
        <v>1477</v>
      </c>
      <c r="C893" s="3" t="str">
        <f>"新开铺街道"</f>
        <v>新开铺街道</v>
      </c>
      <c r="D893" s="3" t="str">
        <f>"新天村委会"</f>
        <v>新天村委会</v>
      </c>
      <c r="E893" s="3" t="str">
        <f t="shared" si="299"/>
        <v>140</v>
      </c>
      <c r="F893" s="3" t="str">
        <f t="shared" si="297"/>
        <v>100</v>
      </c>
      <c r="G893" s="3" t="str">
        <f t="shared" ref="G893:G896" si="319">"二级"</f>
        <v>二级</v>
      </c>
    </row>
    <row r="894" customHeight="1" spans="1:7">
      <c r="A894" s="3" t="str">
        <f>"2093"</f>
        <v>2093</v>
      </c>
      <c r="B894" s="3" t="s">
        <v>176</v>
      </c>
      <c r="C894" s="3" t="str">
        <f t="shared" ref="C894:C898" si="320">"大托铺街道"</f>
        <v>大托铺街道</v>
      </c>
      <c r="D894" s="3" t="str">
        <f>"桂井村委会"</f>
        <v>桂井村委会</v>
      </c>
      <c r="E894" s="3" t="str">
        <f t="shared" si="299"/>
        <v>140</v>
      </c>
      <c r="F894" s="3" t="str">
        <f t="shared" si="297"/>
        <v>100</v>
      </c>
      <c r="G894" s="3" t="str">
        <f t="shared" si="318"/>
        <v>一级</v>
      </c>
    </row>
    <row r="895" customHeight="1" spans="1:7">
      <c r="A895" s="3" t="str">
        <f>"2094"</f>
        <v>2094</v>
      </c>
      <c r="B895" s="3" t="s">
        <v>925</v>
      </c>
      <c r="C895" s="3" t="str">
        <f t="shared" si="320"/>
        <v>大托铺街道</v>
      </c>
      <c r="D895" s="3" t="str">
        <f>"黄合村委会"</f>
        <v>黄合村委会</v>
      </c>
      <c r="E895" s="3" t="str">
        <f t="shared" si="299"/>
        <v>140</v>
      </c>
      <c r="F895" s="3" t="str">
        <f t="shared" ref="F895:F950" si="321">"100"</f>
        <v>100</v>
      </c>
      <c r="G895" s="3" t="str">
        <f t="shared" si="319"/>
        <v>二级</v>
      </c>
    </row>
    <row r="896" customHeight="1" spans="1:7">
      <c r="A896" s="3" t="str">
        <f>"2095"</f>
        <v>2095</v>
      </c>
      <c r="B896" s="3" t="s">
        <v>1478</v>
      </c>
      <c r="C896" s="3" t="str">
        <f>"新开铺街道"</f>
        <v>新开铺街道</v>
      </c>
      <c r="D896" s="3" t="str">
        <f>"新天村委会"</f>
        <v>新天村委会</v>
      </c>
      <c r="E896" s="3" t="str">
        <f t="shared" si="299"/>
        <v>140</v>
      </c>
      <c r="F896" s="3" t="str">
        <f t="shared" si="321"/>
        <v>100</v>
      </c>
      <c r="G896" s="3" t="str">
        <f t="shared" si="319"/>
        <v>二级</v>
      </c>
    </row>
    <row r="897" customHeight="1" spans="1:7">
      <c r="A897" s="3" t="str">
        <f>"2096"</f>
        <v>2096</v>
      </c>
      <c r="B897" s="3" t="s">
        <v>380</v>
      </c>
      <c r="C897" s="3" t="str">
        <f t="shared" si="320"/>
        <v>大托铺街道</v>
      </c>
      <c r="D897" s="3" t="str">
        <f>"黄合村委会"</f>
        <v>黄合村委会</v>
      </c>
      <c r="E897" s="3" t="str">
        <f t="shared" si="299"/>
        <v>140</v>
      </c>
      <c r="F897" s="3" t="str">
        <f t="shared" si="321"/>
        <v>100</v>
      </c>
      <c r="G897" s="3" t="str">
        <f t="shared" si="318"/>
        <v>一级</v>
      </c>
    </row>
    <row r="898" customHeight="1" spans="1:7">
      <c r="A898" s="3" t="str">
        <f>"2097"</f>
        <v>2097</v>
      </c>
      <c r="B898" s="3" t="s">
        <v>110</v>
      </c>
      <c r="C898" s="3" t="str">
        <f t="shared" si="320"/>
        <v>大托铺街道</v>
      </c>
      <c r="D898" s="3" t="str">
        <f>"大托村委会"</f>
        <v>大托村委会</v>
      </c>
      <c r="E898" s="3" t="str">
        <f t="shared" ref="E898:E961" si="322">"140"</f>
        <v>140</v>
      </c>
      <c r="F898" s="3" t="str">
        <f t="shared" si="321"/>
        <v>100</v>
      </c>
      <c r="G898" s="3" t="str">
        <f t="shared" ref="G898:G903" si="323">"二级"</f>
        <v>二级</v>
      </c>
    </row>
    <row r="899" customHeight="1" spans="1:7">
      <c r="A899" s="3" t="str">
        <f>"2098"</f>
        <v>2098</v>
      </c>
      <c r="B899" s="3" t="s">
        <v>1479</v>
      </c>
      <c r="C899" s="3" t="str">
        <f>"黑石铺街道"</f>
        <v>黑石铺街道</v>
      </c>
      <c r="D899" s="3" t="str">
        <f>"一力社区"</f>
        <v>一力社区</v>
      </c>
      <c r="E899" s="3" t="str">
        <f t="shared" si="322"/>
        <v>140</v>
      </c>
      <c r="F899" s="3" t="str">
        <f t="shared" si="321"/>
        <v>100</v>
      </c>
      <c r="G899" s="3" t="str">
        <f t="shared" si="323"/>
        <v>二级</v>
      </c>
    </row>
    <row r="900" customHeight="1" spans="1:7">
      <c r="A900" s="3" t="str">
        <f>"2099"</f>
        <v>2099</v>
      </c>
      <c r="B900" s="3" t="s">
        <v>306</v>
      </c>
      <c r="C900" s="3" t="str">
        <f>"青园街道"</f>
        <v>青园街道</v>
      </c>
      <c r="D900" s="3" t="str">
        <f>"青园社区"</f>
        <v>青园社区</v>
      </c>
      <c r="E900" s="3" t="str">
        <f t="shared" si="322"/>
        <v>140</v>
      </c>
      <c r="F900" s="3" t="str">
        <f t="shared" si="321"/>
        <v>100</v>
      </c>
      <c r="G900" s="3" t="str">
        <f t="shared" si="323"/>
        <v>二级</v>
      </c>
    </row>
    <row r="901" customHeight="1" spans="1:7">
      <c r="A901" s="3" t="str">
        <f>"2100"</f>
        <v>2100</v>
      </c>
      <c r="B901" s="3" t="s">
        <v>35</v>
      </c>
      <c r="C901" s="3" t="str">
        <f>"青园街道"</f>
        <v>青园街道</v>
      </c>
      <c r="D901" s="3" t="str">
        <f>"友谊社区"</f>
        <v>友谊社区</v>
      </c>
      <c r="E901" s="3" t="str">
        <f t="shared" si="322"/>
        <v>140</v>
      </c>
      <c r="F901" s="3" t="str">
        <f t="shared" si="321"/>
        <v>100</v>
      </c>
      <c r="G901" s="3" t="str">
        <f t="shared" si="323"/>
        <v>二级</v>
      </c>
    </row>
    <row r="902" customHeight="1" spans="1:7">
      <c r="A902" s="3" t="str">
        <f>"2101"</f>
        <v>2101</v>
      </c>
      <c r="B902" s="3" t="s">
        <v>1480</v>
      </c>
      <c r="C902" s="3" t="str">
        <f>"文源街道"</f>
        <v>文源街道</v>
      </c>
      <c r="D902" s="3" t="str">
        <f>"梅岭社区"</f>
        <v>梅岭社区</v>
      </c>
      <c r="E902" s="3" t="str">
        <f t="shared" si="322"/>
        <v>140</v>
      </c>
      <c r="F902" s="3" t="str">
        <f t="shared" si="321"/>
        <v>100</v>
      </c>
      <c r="G902" s="3" t="str">
        <f t="shared" si="323"/>
        <v>二级</v>
      </c>
    </row>
    <row r="903" customHeight="1" spans="1:7">
      <c r="A903" s="3" t="str">
        <f>"2102"</f>
        <v>2102</v>
      </c>
      <c r="B903" s="3" t="s">
        <v>267</v>
      </c>
      <c r="C903" s="3" t="str">
        <f>"金盆岭街道"</f>
        <v>金盆岭街道</v>
      </c>
      <c r="D903" s="3" t="str">
        <f>"狮子山社区"</f>
        <v>狮子山社区</v>
      </c>
      <c r="E903" s="3" t="str">
        <f t="shared" si="322"/>
        <v>140</v>
      </c>
      <c r="F903" s="3" t="str">
        <f t="shared" si="321"/>
        <v>100</v>
      </c>
      <c r="G903" s="3" t="str">
        <f t="shared" si="323"/>
        <v>二级</v>
      </c>
    </row>
    <row r="904" customHeight="1" spans="1:7">
      <c r="A904" s="3" t="str">
        <f>"2103"</f>
        <v>2103</v>
      </c>
      <c r="B904" s="3" t="s">
        <v>1481</v>
      </c>
      <c r="C904" s="3" t="str">
        <f>"城南路街道"</f>
        <v>城南路街道</v>
      </c>
      <c r="D904" s="3" t="str">
        <f>"吴家坪社区"</f>
        <v>吴家坪社区</v>
      </c>
      <c r="E904" s="3" t="str">
        <f t="shared" si="322"/>
        <v>140</v>
      </c>
      <c r="F904" s="3" t="str">
        <f t="shared" si="321"/>
        <v>100</v>
      </c>
      <c r="G904" s="3" t="str">
        <f>"一级"</f>
        <v>一级</v>
      </c>
    </row>
    <row r="905" customHeight="1" spans="1:7">
      <c r="A905" s="3" t="str">
        <f>"2104"</f>
        <v>2104</v>
      </c>
      <c r="B905" s="3" t="s">
        <v>1482</v>
      </c>
      <c r="C905" s="3" t="str">
        <f>"金盆岭街道"</f>
        <v>金盆岭街道</v>
      </c>
      <c r="D905" s="3" t="str">
        <f>"黄土岭社区"</f>
        <v>黄土岭社区</v>
      </c>
      <c r="E905" s="3" t="str">
        <f t="shared" si="322"/>
        <v>140</v>
      </c>
      <c r="F905" s="3" t="str">
        <f t="shared" si="321"/>
        <v>100</v>
      </c>
      <c r="G905" s="3" t="str">
        <f t="shared" ref="G905:G911" si="324">"二级"</f>
        <v>二级</v>
      </c>
    </row>
    <row r="906" customHeight="1" spans="1:7">
      <c r="A906" s="3" t="str">
        <f>"2105"</f>
        <v>2105</v>
      </c>
      <c r="B906" s="3" t="s">
        <v>1483</v>
      </c>
      <c r="C906" s="3" t="str">
        <f>"坡子街街道"</f>
        <v>坡子街街道</v>
      </c>
      <c r="D906" s="3" t="str">
        <f>"碧湘社区"</f>
        <v>碧湘社区</v>
      </c>
      <c r="E906" s="3" t="str">
        <f t="shared" si="322"/>
        <v>140</v>
      </c>
      <c r="F906" s="3" t="str">
        <f t="shared" si="321"/>
        <v>100</v>
      </c>
      <c r="G906" s="3" t="str">
        <f>"一级"</f>
        <v>一级</v>
      </c>
    </row>
    <row r="907" customHeight="1" spans="1:7">
      <c r="A907" s="3" t="str">
        <f>"2106"</f>
        <v>2106</v>
      </c>
      <c r="B907" s="3" t="s">
        <v>382</v>
      </c>
      <c r="C907" s="3" t="str">
        <f>"大托铺街道"</f>
        <v>大托铺街道</v>
      </c>
      <c r="D907" s="3" t="str">
        <f>"黄合村委会"</f>
        <v>黄合村委会</v>
      </c>
      <c r="E907" s="3" t="str">
        <f t="shared" si="322"/>
        <v>140</v>
      </c>
      <c r="F907" s="3" t="str">
        <f t="shared" si="321"/>
        <v>100</v>
      </c>
      <c r="G907" s="3" t="str">
        <f t="shared" si="324"/>
        <v>二级</v>
      </c>
    </row>
    <row r="908" customHeight="1" spans="1:7">
      <c r="A908" s="3" t="str">
        <f>"2107"</f>
        <v>2107</v>
      </c>
      <c r="B908" s="3" t="s">
        <v>1484</v>
      </c>
      <c r="C908" s="3" t="str">
        <f>"南托街道"</f>
        <v>南托街道</v>
      </c>
      <c r="D908" s="3" t="str">
        <f>"滨洲新村"</f>
        <v>滨洲新村</v>
      </c>
      <c r="E908" s="3" t="str">
        <f t="shared" si="322"/>
        <v>140</v>
      </c>
      <c r="F908" s="3" t="str">
        <f t="shared" si="321"/>
        <v>100</v>
      </c>
      <c r="G908" s="3" t="str">
        <f t="shared" si="324"/>
        <v>二级</v>
      </c>
    </row>
    <row r="909" customHeight="1" spans="1:7">
      <c r="A909" s="3" t="str">
        <f>"2108"</f>
        <v>2108</v>
      </c>
      <c r="B909" s="3" t="s">
        <v>129</v>
      </c>
      <c r="C909" s="3" t="str">
        <f>"青园街道"</f>
        <v>青园街道</v>
      </c>
      <c r="D909" s="3" t="str">
        <f>"青园社区"</f>
        <v>青园社区</v>
      </c>
      <c r="E909" s="3" t="str">
        <f t="shared" si="322"/>
        <v>140</v>
      </c>
      <c r="F909" s="3" t="str">
        <f t="shared" si="321"/>
        <v>100</v>
      </c>
      <c r="G909" s="3" t="str">
        <f t="shared" si="324"/>
        <v>二级</v>
      </c>
    </row>
    <row r="910" customHeight="1" spans="1:7">
      <c r="A910" s="3" t="str">
        <f>"2109"</f>
        <v>2109</v>
      </c>
      <c r="B910" s="3" t="s">
        <v>1485</v>
      </c>
      <c r="C910" s="3" t="str">
        <f>"黑石铺街道"</f>
        <v>黑石铺街道</v>
      </c>
      <c r="D910" s="3" t="str">
        <f>"一力社区"</f>
        <v>一力社区</v>
      </c>
      <c r="E910" s="3" t="str">
        <f t="shared" si="322"/>
        <v>140</v>
      </c>
      <c r="F910" s="3" t="str">
        <f t="shared" si="321"/>
        <v>100</v>
      </c>
      <c r="G910" s="3" t="str">
        <f t="shared" si="324"/>
        <v>二级</v>
      </c>
    </row>
    <row r="911" customHeight="1" spans="1:7">
      <c r="A911" s="3" t="str">
        <f>"2110"</f>
        <v>2110</v>
      </c>
      <c r="B911" s="3" t="s">
        <v>1032</v>
      </c>
      <c r="C911" s="3" t="str">
        <f>"先锋街道"</f>
        <v>先锋街道</v>
      </c>
      <c r="D911" s="3" t="str">
        <f>"新宇社区"</f>
        <v>新宇社区</v>
      </c>
      <c r="E911" s="3" t="str">
        <f t="shared" si="322"/>
        <v>140</v>
      </c>
      <c r="F911" s="3" t="str">
        <f t="shared" si="321"/>
        <v>100</v>
      </c>
      <c r="G911" s="3" t="str">
        <f t="shared" si="324"/>
        <v>二级</v>
      </c>
    </row>
    <row r="912" customHeight="1" spans="1:7">
      <c r="A912" s="3" t="str">
        <f>"2111"</f>
        <v>2111</v>
      </c>
      <c r="B912" s="3" t="s">
        <v>1486</v>
      </c>
      <c r="C912" s="3" t="str">
        <f>"桂花坪街道"</f>
        <v>桂花坪街道</v>
      </c>
      <c r="D912" s="3" t="str">
        <f>"金桂社区"</f>
        <v>金桂社区</v>
      </c>
      <c r="E912" s="3" t="str">
        <f t="shared" si="322"/>
        <v>140</v>
      </c>
      <c r="F912" s="3" t="str">
        <f t="shared" si="321"/>
        <v>100</v>
      </c>
      <c r="G912" s="3" t="str">
        <f t="shared" ref="G912:G917" si="325">"一级"</f>
        <v>一级</v>
      </c>
    </row>
    <row r="913" customHeight="1" spans="1:7">
      <c r="A913" s="3" t="str">
        <f>"2112"</f>
        <v>2112</v>
      </c>
      <c r="B913" s="3" t="s">
        <v>1487</v>
      </c>
      <c r="C913" s="3" t="str">
        <f>"黑石铺街道"</f>
        <v>黑石铺街道</v>
      </c>
      <c r="D913" s="3" t="str">
        <f>"一力社区"</f>
        <v>一力社区</v>
      </c>
      <c r="E913" s="3" t="str">
        <f t="shared" si="322"/>
        <v>140</v>
      </c>
      <c r="F913" s="3" t="str">
        <f t="shared" si="321"/>
        <v>100</v>
      </c>
      <c r="G913" s="3" t="str">
        <f t="shared" ref="G913:G916" si="326">"二级"</f>
        <v>二级</v>
      </c>
    </row>
    <row r="914" customHeight="1" spans="1:7">
      <c r="A914" s="3" t="str">
        <f>"2113"</f>
        <v>2113</v>
      </c>
      <c r="B914" s="3" t="s">
        <v>1488</v>
      </c>
      <c r="C914" s="3" t="str">
        <f>"桂花坪街道"</f>
        <v>桂花坪街道</v>
      </c>
      <c r="D914" s="3" t="str">
        <f>"金桂社区"</f>
        <v>金桂社区</v>
      </c>
      <c r="E914" s="3" t="str">
        <f t="shared" si="322"/>
        <v>140</v>
      </c>
      <c r="F914" s="3" t="str">
        <f t="shared" si="321"/>
        <v>100</v>
      </c>
      <c r="G914" s="3" t="str">
        <f t="shared" si="326"/>
        <v>二级</v>
      </c>
    </row>
    <row r="915" customHeight="1" spans="1:7">
      <c r="A915" s="3" t="str">
        <f>"2114"</f>
        <v>2114</v>
      </c>
      <c r="B915" s="3" t="s">
        <v>149</v>
      </c>
      <c r="C915" s="3" t="str">
        <f>"大托铺街道"</f>
        <v>大托铺街道</v>
      </c>
      <c r="D915" s="3" t="str">
        <f>"新港村委会"</f>
        <v>新港村委会</v>
      </c>
      <c r="E915" s="3" t="str">
        <f t="shared" si="322"/>
        <v>140</v>
      </c>
      <c r="F915" s="3" t="str">
        <f t="shared" si="321"/>
        <v>100</v>
      </c>
      <c r="G915" s="3" t="str">
        <f t="shared" si="325"/>
        <v>一级</v>
      </c>
    </row>
    <row r="916" customHeight="1" spans="1:7">
      <c r="A916" s="3" t="str">
        <f>"2115"</f>
        <v>2115</v>
      </c>
      <c r="B916" s="3" t="s">
        <v>1489</v>
      </c>
      <c r="C916" s="3" t="str">
        <f t="shared" ref="C916:C920" si="327">"裕南街街道"</f>
        <v>裕南街街道</v>
      </c>
      <c r="D916" s="3" t="str">
        <f>"宝塔山社区"</f>
        <v>宝塔山社区</v>
      </c>
      <c r="E916" s="3" t="str">
        <f t="shared" si="322"/>
        <v>140</v>
      </c>
      <c r="F916" s="3" t="str">
        <f t="shared" si="321"/>
        <v>100</v>
      </c>
      <c r="G916" s="3" t="str">
        <f t="shared" si="326"/>
        <v>二级</v>
      </c>
    </row>
    <row r="917" customHeight="1" spans="1:7">
      <c r="A917" s="3" t="str">
        <f>"2116"</f>
        <v>2116</v>
      </c>
      <c r="B917" s="3" t="s">
        <v>452</v>
      </c>
      <c r="C917" s="3" t="str">
        <f>"先锋街道"</f>
        <v>先锋街道</v>
      </c>
      <c r="D917" s="3" t="str">
        <f>"新路村委会"</f>
        <v>新路村委会</v>
      </c>
      <c r="E917" s="3" t="str">
        <f t="shared" si="322"/>
        <v>140</v>
      </c>
      <c r="F917" s="3" t="str">
        <f t="shared" si="321"/>
        <v>100</v>
      </c>
      <c r="G917" s="3" t="str">
        <f t="shared" si="325"/>
        <v>一级</v>
      </c>
    </row>
    <row r="918" customHeight="1" spans="1:7">
      <c r="A918" s="3" t="str">
        <f>"2117"</f>
        <v>2117</v>
      </c>
      <c r="B918" s="3" t="s">
        <v>1231</v>
      </c>
      <c r="C918" s="3" t="str">
        <f>"赤岭路街道"</f>
        <v>赤岭路街道</v>
      </c>
      <c r="D918" s="3" t="str">
        <f>"南大桥社区"</f>
        <v>南大桥社区</v>
      </c>
      <c r="E918" s="3" t="str">
        <f t="shared" si="322"/>
        <v>140</v>
      </c>
      <c r="F918" s="3" t="str">
        <f t="shared" si="321"/>
        <v>100</v>
      </c>
      <c r="G918" s="3" t="str">
        <f t="shared" ref="G918:G924" si="328">"二级"</f>
        <v>二级</v>
      </c>
    </row>
    <row r="919" customHeight="1" spans="1:7">
      <c r="A919" s="3" t="str">
        <f>"2118"</f>
        <v>2118</v>
      </c>
      <c r="B919" s="3" t="s">
        <v>1490</v>
      </c>
      <c r="C919" s="3" t="str">
        <f t="shared" si="327"/>
        <v>裕南街街道</v>
      </c>
      <c r="D919" s="3" t="str">
        <f>"东瓜山社区"</f>
        <v>东瓜山社区</v>
      </c>
      <c r="E919" s="3" t="str">
        <f t="shared" si="322"/>
        <v>140</v>
      </c>
      <c r="F919" s="3" t="str">
        <f t="shared" si="321"/>
        <v>100</v>
      </c>
      <c r="G919" s="3" t="str">
        <f>"一级"</f>
        <v>一级</v>
      </c>
    </row>
    <row r="920" customHeight="1" spans="1:7">
      <c r="A920" s="3" t="str">
        <f>"2119"</f>
        <v>2119</v>
      </c>
      <c r="B920" s="3" t="s">
        <v>1491</v>
      </c>
      <c r="C920" s="3" t="str">
        <f t="shared" si="327"/>
        <v>裕南街街道</v>
      </c>
      <c r="D920" s="3" t="str">
        <f>"向东南社区"</f>
        <v>向东南社区</v>
      </c>
      <c r="E920" s="3" t="str">
        <f t="shared" si="322"/>
        <v>140</v>
      </c>
      <c r="F920" s="3" t="str">
        <f t="shared" si="321"/>
        <v>100</v>
      </c>
      <c r="G920" s="3" t="str">
        <f t="shared" si="328"/>
        <v>二级</v>
      </c>
    </row>
    <row r="921" customHeight="1" spans="1:7">
      <c r="A921" s="3" t="str">
        <f>"2120"</f>
        <v>2120</v>
      </c>
      <c r="B921" s="3" t="s">
        <v>77</v>
      </c>
      <c r="C921" s="3" t="str">
        <f>"暮云街道"</f>
        <v>暮云街道</v>
      </c>
      <c r="D921" s="3" t="str">
        <f>"许兴村"</f>
        <v>许兴村</v>
      </c>
      <c r="E921" s="3" t="str">
        <f t="shared" si="322"/>
        <v>140</v>
      </c>
      <c r="F921" s="3" t="str">
        <f t="shared" si="321"/>
        <v>100</v>
      </c>
      <c r="G921" s="3" t="str">
        <f t="shared" si="328"/>
        <v>二级</v>
      </c>
    </row>
    <row r="922" customHeight="1" spans="1:7">
      <c r="A922" s="3" t="str">
        <f>"2121"</f>
        <v>2121</v>
      </c>
      <c r="B922" s="3" t="s">
        <v>1492</v>
      </c>
      <c r="C922" s="3" t="str">
        <f>"桂花坪街道"</f>
        <v>桂花坪街道</v>
      </c>
      <c r="D922" s="3" t="str">
        <f>"金桂社区"</f>
        <v>金桂社区</v>
      </c>
      <c r="E922" s="3" t="str">
        <f t="shared" si="322"/>
        <v>140</v>
      </c>
      <c r="F922" s="3" t="str">
        <f t="shared" si="321"/>
        <v>100</v>
      </c>
      <c r="G922" s="3" t="str">
        <f t="shared" si="328"/>
        <v>二级</v>
      </c>
    </row>
    <row r="923" customHeight="1" spans="1:7">
      <c r="A923" s="3" t="str">
        <f>"2122"</f>
        <v>2122</v>
      </c>
      <c r="B923" s="3" t="s">
        <v>380</v>
      </c>
      <c r="C923" s="3" t="str">
        <f>"新开铺街道"</f>
        <v>新开铺街道</v>
      </c>
      <c r="D923" s="3" t="str">
        <f>"新天村委会"</f>
        <v>新天村委会</v>
      </c>
      <c r="E923" s="3" t="str">
        <f t="shared" si="322"/>
        <v>140</v>
      </c>
      <c r="F923" s="3" t="str">
        <f t="shared" si="321"/>
        <v>100</v>
      </c>
      <c r="G923" s="3" t="str">
        <f t="shared" si="328"/>
        <v>二级</v>
      </c>
    </row>
    <row r="924" customHeight="1" spans="1:7">
      <c r="A924" s="3" t="str">
        <f>"2123"</f>
        <v>2123</v>
      </c>
      <c r="B924" s="3" t="s">
        <v>180</v>
      </c>
      <c r="C924" s="3" t="str">
        <f>"文源街道"</f>
        <v>文源街道</v>
      </c>
      <c r="D924" s="3" t="str">
        <f>"天鸿社区"</f>
        <v>天鸿社区</v>
      </c>
      <c r="E924" s="3" t="str">
        <f t="shared" si="322"/>
        <v>140</v>
      </c>
      <c r="F924" s="3" t="str">
        <f t="shared" si="321"/>
        <v>100</v>
      </c>
      <c r="G924" s="3" t="str">
        <f t="shared" si="328"/>
        <v>二级</v>
      </c>
    </row>
    <row r="925" customHeight="1" spans="1:7">
      <c r="A925" s="3" t="str">
        <f>"2124"</f>
        <v>2124</v>
      </c>
      <c r="B925" s="3" t="s">
        <v>777</v>
      </c>
      <c r="C925" s="3" t="str">
        <f>"黑石铺街道"</f>
        <v>黑石铺街道</v>
      </c>
      <c r="D925" s="3" t="str">
        <f>"披塘村委会"</f>
        <v>披塘村委会</v>
      </c>
      <c r="E925" s="3" t="str">
        <f t="shared" si="322"/>
        <v>140</v>
      </c>
      <c r="F925" s="3" t="str">
        <f t="shared" si="321"/>
        <v>100</v>
      </c>
      <c r="G925" s="3" t="str">
        <f t="shared" ref="G925:G930" si="329">"一级"</f>
        <v>一级</v>
      </c>
    </row>
    <row r="926" customHeight="1" spans="1:7">
      <c r="A926" s="3" t="str">
        <f>"2125"</f>
        <v>2125</v>
      </c>
      <c r="B926" s="3" t="s">
        <v>1493</v>
      </c>
      <c r="C926" s="3" t="str">
        <f>"新开铺街道"</f>
        <v>新开铺街道</v>
      </c>
      <c r="D926" s="3" t="str">
        <f>"新开铺社区"</f>
        <v>新开铺社区</v>
      </c>
      <c r="E926" s="3" t="str">
        <f t="shared" si="322"/>
        <v>140</v>
      </c>
      <c r="F926" s="3" t="str">
        <f t="shared" si="321"/>
        <v>100</v>
      </c>
      <c r="G926" s="3" t="str">
        <f t="shared" si="329"/>
        <v>一级</v>
      </c>
    </row>
    <row r="927" customHeight="1" spans="1:7">
      <c r="A927" s="3" t="str">
        <f>"2126"</f>
        <v>2126</v>
      </c>
      <c r="B927" s="3" t="s">
        <v>561</v>
      </c>
      <c r="C927" s="3" t="str">
        <f>"坡子街街道"</f>
        <v>坡子街街道</v>
      </c>
      <c r="D927" s="3" t="str">
        <f>"登仁桥社区"</f>
        <v>登仁桥社区</v>
      </c>
      <c r="E927" s="3" t="str">
        <f t="shared" si="322"/>
        <v>140</v>
      </c>
      <c r="F927" s="3" t="str">
        <f t="shared" si="321"/>
        <v>100</v>
      </c>
      <c r="G927" s="3" t="str">
        <f t="shared" ref="G927:G929" si="330">"二级"</f>
        <v>二级</v>
      </c>
    </row>
    <row r="928" customHeight="1" spans="1:7">
      <c r="A928" s="3" t="str">
        <f>"2127"</f>
        <v>2127</v>
      </c>
      <c r="B928" s="3" t="s">
        <v>331</v>
      </c>
      <c r="C928" s="3" t="str">
        <f>"裕南街街道"</f>
        <v>裕南街街道</v>
      </c>
      <c r="D928" s="3" t="str">
        <f>"仰天湖社区"</f>
        <v>仰天湖社区</v>
      </c>
      <c r="E928" s="3" t="str">
        <f t="shared" si="322"/>
        <v>140</v>
      </c>
      <c r="F928" s="3" t="str">
        <f t="shared" si="321"/>
        <v>100</v>
      </c>
      <c r="G928" s="3" t="str">
        <f t="shared" si="330"/>
        <v>二级</v>
      </c>
    </row>
    <row r="929" customHeight="1" spans="1:7">
      <c r="A929" s="3" t="str">
        <f>"2128"</f>
        <v>2128</v>
      </c>
      <c r="B929" s="3" t="s">
        <v>70</v>
      </c>
      <c r="C929" s="3" t="str">
        <f>"裕南街街道"</f>
        <v>裕南街街道</v>
      </c>
      <c r="D929" s="3" t="str">
        <f>"杏花园社区"</f>
        <v>杏花园社区</v>
      </c>
      <c r="E929" s="3" t="str">
        <f t="shared" si="322"/>
        <v>140</v>
      </c>
      <c r="F929" s="3" t="str">
        <f t="shared" si="321"/>
        <v>100</v>
      </c>
      <c r="G929" s="3" t="str">
        <f t="shared" si="330"/>
        <v>二级</v>
      </c>
    </row>
    <row r="930" customHeight="1" spans="1:7">
      <c r="A930" s="3" t="str">
        <f>"2129"</f>
        <v>2129</v>
      </c>
      <c r="B930" s="3" t="s">
        <v>1494</v>
      </c>
      <c r="C930" s="3" t="str">
        <f t="shared" ref="C930:C934" si="331">"城南路街道"</f>
        <v>城南路街道</v>
      </c>
      <c r="D930" s="3" t="str">
        <f>"白沙井社区"</f>
        <v>白沙井社区</v>
      </c>
      <c r="E930" s="3" t="str">
        <f t="shared" si="322"/>
        <v>140</v>
      </c>
      <c r="F930" s="3" t="str">
        <f t="shared" si="321"/>
        <v>100</v>
      </c>
      <c r="G930" s="3" t="str">
        <f t="shared" si="329"/>
        <v>一级</v>
      </c>
    </row>
    <row r="931" customHeight="1" spans="1:7">
      <c r="A931" s="3" t="str">
        <f>"2130"</f>
        <v>2130</v>
      </c>
      <c r="B931" s="3" t="s">
        <v>1419</v>
      </c>
      <c r="C931" s="3" t="str">
        <f t="shared" si="331"/>
        <v>城南路街道</v>
      </c>
      <c r="D931" s="3" t="str">
        <f>"工农桥社区"</f>
        <v>工农桥社区</v>
      </c>
      <c r="E931" s="3" t="str">
        <f t="shared" si="322"/>
        <v>140</v>
      </c>
      <c r="F931" s="3" t="str">
        <f t="shared" si="321"/>
        <v>100</v>
      </c>
      <c r="G931" s="3" t="str">
        <f t="shared" ref="G931:G936" si="332">"二级"</f>
        <v>二级</v>
      </c>
    </row>
    <row r="932" customHeight="1" spans="1:7">
      <c r="A932" s="3" t="str">
        <f>"2131"</f>
        <v>2131</v>
      </c>
      <c r="B932" s="3" t="s">
        <v>1165</v>
      </c>
      <c r="C932" s="3" t="str">
        <f t="shared" ref="C932:C937" si="333">"金盆岭街道"</f>
        <v>金盆岭街道</v>
      </c>
      <c r="D932" s="3" t="str">
        <f>"涂新社区"</f>
        <v>涂新社区</v>
      </c>
      <c r="E932" s="3" t="str">
        <f t="shared" si="322"/>
        <v>140</v>
      </c>
      <c r="F932" s="3" t="str">
        <f t="shared" si="321"/>
        <v>100</v>
      </c>
      <c r="G932" s="3" t="str">
        <f t="shared" ref="G932:G937" si="334">"一级"</f>
        <v>一级</v>
      </c>
    </row>
    <row r="933" customHeight="1" spans="1:7">
      <c r="A933" s="3" t="str">
        <f>"2132"</f>
        <v>2132</v>
      </c>
      <c r="B933" s="3" t="s">
        <v>307</v>
      </c>
      <c r="C933" s="3" t="str">
        <f>"青园街道"</f>
        <v>青园街道</v>
      </c>
      <c r="D933" s="3" t="str">
        <f>"井湾子社区"</f>
        <v>井湾子社区</v>
      </c>
      <c r="E933" s="3" t="str">
        <f t="shared" si="322"/>
        <v>140</v>
      </c>
      <c r="F933" s="3" t="str">
        <f t="shared" si="321"/>
        <v>100</v>
      </c>
      <c r="G933" s="3" t="str">
        <f t="shared" si="334"/>
        <v>一级</v>
      </c>
    </row>
    <row r="934" customHeight="1" spans="1:7">
      <c r="A934" s="3" t="str">
        <f>"2133"</f>
        <v>2133</v>
      </c>
      <c r="B934" s="3" t="s">
        <v>1495</v>
      </c>
      <c r="C934" s="3" t="str">
        <f t="shared" si="331"/>
        <v>城南路街道</v>
      </c>
      <c r="D934" s="3" t="str">
        <f>"熙台岭社区"</f>
        <v>熙台岭社区</v>
      </c>
      <c r="E934" s="3" t="str">
        <f t="shared" si="322"/>
        <v>140</v>
      </c>
      <c r="F934" s="3" t="str">
        <f t="shared" si="321"/>
        <v>100</v>
      </c>
      <c r="G934" s="3" t="str">
        <f t="shared" si="332"/>
        <v>二级</v>
      </c>
    </row>
    <row r="935" customHeight="1" spans="1:7">
      <c r="A935" s="3" t="str">
        <f>"2134"</f>
        <v>2134</v>
      </c>
      <c r="B935" s="3" t="s">
        <v>758</v>
      </c>
      <c r="C935" s="3" t="str">
        <f t="shared" si="333"/>
        <v>金盆岭街道</v>
      </c>
      <c r="D935" s="3" t="str">
        <f>"夏家冲社区"</f>
        <v>夏家冲社区</v>
      </c>
      <c r="E935" s="3" t="str">
        <f t="shared" si="322"/>
        <v>140</v>
      </c>
      <c r="F935" s="3" t="str">
        <f t="shared" si="321"/>
        <v>100</v>
      </c>
      <c r="G935" s="3" t="str">
        <f t="shared" si="332"/>
        <v>二级</v>
      </c>
    </row>
    <row r="936" customHeight="1" spans="1:7">
      <c r="A936" s="3" t="str">
        <f>"2135"</f>
        <v>2135</v>
      </c>
      <c r="B936" s="3" t="s">
        <v>125</v>
      </c>
      <c r="C936" s="3" t="str">
        <f>"裕南街街道"</f>
        <v>裕南街街道</v>
      </c>
      <c r="D936" s="3" t="str">
        <f>"长坡社区"</f>
        <v>长坡社区</v>
      </c>
      <c r="E936" s="3" t="str">
        <f t="shared" si="322"/>
        <v>140</v>
      </c>
      <c r="F936" s="3" t="str">
        <f t="shared" si="321"/>
        <v>100</v>
      </c>
      <c r="G936" s="3" t="str">
        <f t="shared" si="332"/>
        <v>二级</v>
      </c>
    </row>
    <row r="937" customHeight="1" spans="1:7">
      <c r="A937" s="3" t="str">
        <f>"2136"</f>
        <v>2136</v>
      </c>
      <c r="B937" s="3" t="s">
        <v>80</v>
      </c>
      <c r="C937" s="3" t="str">
        <f t="shared" si="333"/>
        <v>金盆岭街道</v>
      </c>
      <c r="D937" s="3" t="str">
        <f>"赤岭路社区"</f>
        <v>赤岭路社区</v>
      </c>
      <c r="E937" s="3" t="str">
        <f t="shared" si="322"/>
        <v>140</v>
      </c>
      <c r="F937" s="3" t="str">
        <f t="shared" si="321"/>
        <v>100</v>
      </c>
      <c r="G937" s="3" t="str">
        <f t="shared" si="334"/>
        <v>一级</v>
      </c>
    </row>
    <row r="938" customHeight="1" spans="1:7">
      <c r="A938" s="3" t="str">
        <f>"2137"</f>
        <v>2137</v>
      </c>
      <c r="B938" s="3" t="s">
        <v>1386</v>
      </c>
      <c r="C938" s="3" t="str">
        <f>"坡子街街道"</f>
        <v>坡子街街道</v>
      </c>
      <c r="D938" s="3" t="str">
        <f>"西牌楼社区"</f>
        <v>西牌楼社区</v>
      </c>
      <c r="E938" s="3" t="str">
        <f t="shared" si="322"/>
        <v>140</v>
      </c>
      <c r="F938" s="3" t="str">
        <f t="shared" si="321"/>
        <v>100</v>
      </c>
      <c r="G938" s="3" t="str">
        <f t="shared" ref="G938:G947" si="335">"二级"</f>
        <v>二级</v>
      </c>
    </row>
    <row r="939" customHeight="1" spans="1:7">
      <c r="A939" s="3" t="str">
        <f>"2138"</f>
        <v>2138</v>
      </c>
      <c r="B939" s="3" t="s">
        <v>1496</v>
      </c>
      <c r="C939" s="3" t="str">
        <f>"坡子街街道"</f>
        <v>坡子街街道</v>
      </c>
      <c r="D939" s="3" t="str">
        <f>"楚湘社区"</f>
        <v>楚湘社区</v>
      </c>
      <c r="E939" s="3" t="str">
        <f t="shared" si="322"/>
        <v>140</v>
      </c>
      <c r="F939" s="3" t="str">
        <f t="shared" si="321"/>
        <v>100</v>
      </c>
      <c r="G939" s="3" t="str">
        <f t="shared" si="335"/>
        <v>二级</v>
      </c>
    </row>
    <row r="940" customHeight="1" spans="1:7">
      <c r="A940" s="3" t="str">
        <f>"2139"</f>
        <v>2139</v>
      </c>
      <c r="B940" s="3" t="s">
        <v>1001</v>
      </c>
      <c r="C940" s="3" t="str">
        <f>"金盆岭街道"</f>
        <v>金盆岭街道</v>
      </c>
      <c r="D940" s="3" t="str">
        <f>"赤岭路社区"</f>
        <v>赤岭路社区</v>
      </c>
      <c r="E940" s="3" t="str">
        <f t="shared" si="322"/>
        <v>140</v>
      </c>
      <c r="F940" s="3" t="str">
        <f t="shared" si="321"/>
        <v>100</v>
      </c>
      <c r="G940" s="3" t="str">
        <f>"一级"</f>
        <v>一级</v>
      </c>
    </row>
    <row r="941" customHeight="1" spans="1:7">
      <c r="A941" s="3" t="str">
        <f>"2140"</f>
        <v>2140</v>
      </c>
      <c r="B941" s="3" t="s">
        <v>1497</v>
      </c>
      <c r="C941" s="3" t="str">
        <f>"金盆岭街道"</f>
        <v>金盆岭街道</v>
      </c>
      <c r="D941" s="3" t="str">
        <f>"天剑社区"</f>
        <v>天剑社区</v>
      </c>
      <c r="E941" s="3" t="str">
        <f t="shared" si="322"/>
        <v>140</v>
      </c>
      <c r="F941" s="3" t="str">
        <f t="shared" si="321"/>
        <v>100</v>
      </c>
      <c r="G941" s="3" t="str">
        <f>"一级"</f>
        <v>一级</v>
      </c>
    </row>
    <row r="942" customHeight="1" spans="1:7">
      <c r="A942" s="3" t="str">
        <f>"2141"</f>
        <v>2141</v>
      </c>
      <c r="B942" s="3" t="s">
        <v>1498</v>
      </c>
      <c r="C942" s="3" t="str">
        <f t="shared" ref="C942:C947" si="336">"赤岭路街道"</f>
        <v>赤岭路街道</v>
      </c>
      <c r="D942" s="3" t="str">
        <f>"猴子石社区"</f>
        <v>猴子石社区</v>
      </c>
      <c r="E942" s="3" t="str">
        <f t="shared" si="322"/>
        <v>140</v>
      </c>
      <c r="F942" s="3" t="str">
        <f t="shared" si="321"/>
        <v>100</v>
      </c>
      <c r="G942" s="3" t="str">
        <f t="shared" si="335"/>
        <v>二级</v>
      </c>
    </row>
    <row r="943" customHeight="1" spans="1:7">
      <c r="A943" s="3" t="str">
        <f>"2142"</f>
        <v>2142</v>
      </c>
      <c r="B943" s="3" t="s">
        <v>1499</v>
      </c>
      <c r="C943" s="3" t="str">
        <f>"裕南街街道"</f>
        <v>裕南街街道</v>
      </c>
      <c r="D943" s="3" t="str">
        <f>"石子冲社区"</f>
        <v>石子冲社区</v>
      </c>
      <c r="E943" s="3" t="str">
        <f t="shared" si="322"/>
        <v>140</v>
      </c>
      <c r="F943" s="3" t="str">
        <f t="shared" si="321"/>
        <v>100</v>
      </c>
      <c r="G943" s="3" t="str">
        <f t="shared" si="335"/>
        <v>二级</v>
      </c>
    </row>
    <row r="944" customHeight="1" spans="1:7">
      <c r="A944" s="3" t="str">
        <f>"2143"</f>
        <v>2143</v>
      </c>
      <c r="B944" s="3" t="s">
        <v>1500</v>
      </c>
      <c r="C944" s="3" t="str">
        <f>"坡子街街道"</f>
        <v>坡子街街道</v>
      </c>
      <c r="D944" s="3" t="str">
        <f>"文庙坪社区"</f>
        <v>文庙坪社区</v>
      </c>
      <c r="E944" s="3" t="str">
        <f t="shared" si="322"/>
        <v>140</v>
      </c>
      <c r="F944" s="3" t="str">
        <f t="shared" si="321"/>
        <v>100</v>
      </c>
      <c r="G944" s="3" t="str">
        <f t="shared" si="335"/>
        <v>二级</v>
      </c>
    </row>
    <row r="945" customHeight="1" spans="1:7">
      <c r="A945" s="3" t="str">
        <f>"2144"</f>
        <v>2144</v>
      </c>
      <c r="B945" s="3" t="s">
        <v>32</v>
      </c>
      <c r="C945" s="3" t="str">
        <f t="shared" si="336"/>
        <v>赤岭路街道</v>
      </c>
      <c r="D945" s="3" t="str">
        <f>"新丰社区"</f>
        <v>新丰社区</v>
      </c>
      <c r="E945" s="3" t="str">
        <f t="shared" si="322"/>
        <v>140</v>
      </c>
      <c r="F945" s="3" t="str">
        <f t="shared" si="321"/>
        <v>100</v>
      </c>
      <c r="G945" s="3" t="str">
        <f t="shared" si="335"/>
        <v>二级</v>
      </c>
    </row>
    <row r="946" customHeight="1" spans="1:7">
      <c r="A946" s="3" t="str">
        <f>"2145"</f>
        <v>2145</v>
      </c>
      <c r="B946" s="3" t="s">
        <v>1501</v>
      </c>
      <c r="C946" s="3" t="str">
        <f>"金盆岭街道"</f>
        <v>金盆岭街道</v>
      </c>
      <c r="D946" s="3" t="str">
        <f>"赤岭路社区"</f>
        <v>赤岭路社区</v>
      </c>
      <c r="E946" s="3" t="str">
        <f t="shared" si="322"/>
        <v>140</v>
      </c>
      <c r="F946" s="3" t="str">
        <f t="shared" si="321"/>
        <v>100</v>
      </c>
      <c r="G946" s="3" t="str">
        <f t="shared" si="335"/>
        <v>二级</v>
      </c>
    </row>
    <row r="947" customHeight="1" spans="1:7">
      <c r="A947" s="3" t="str">
        <f>"2146"</f>
        <v>2146</v>
      </c>
      <c r="B947" s="3" t="s">
        <v>151</v>
      </c>
      <c r="C947" s="3" t="str">
        <f t="shared" si="336"/>
        <v>赤岭路街道</v>
      </c>
      <c r="D947" s="3" t="str">
        <f>"白沙花园社区"</f>
        <v>白沙花园社区</v>
      </c>
      <c r="E947" s="3" t="str">
        <f t="shared" si="322"/>
        <v>140</v>
      </c>
      <c r="F947" s="3" t="str">
        <f t="shared" si="321"/>
        <v>100</v>
      </c>
      <c r="G947" s="3" t="str">
        <f t="shared" si="335"/>
        <v>二级</v>
      </c>
    </row>
    <row r="948" customHeight="1" spans="1:7">
      <c r="A948" s="3" t="str">
        <f>"2147"</f>
        <v>2147</v>
      </c>
      <c r="B948" s="3" t="s">
        <v>129</v>
      </c>
      <c r="C948" s="3" t="str">
        <f>"新开铺街道"</f>
        <v>新开铺街道</v>
      </c>
      <c r="D948" s="3" t="str">
        <f>"新天社区"</f>
        <v>新天社区</v>
      </c>
      <c r="E948" s="3" t="str">
        <f t="shared" si="322"/>
        <v>140</v>
      </c>
      <c r="F948" s="3" t="str">
        <f t="shared" si="321"/>
        <v>100</v>
      </c>
      <c r="G948" s="3" t="str">
        <f>"一级"</f>
        <v>一级</v>
      </c>
    </row>
    <row r="949" customHeight="1" spans="1:7">
      <c r="A949" s="3" t="str">
        <f>"2148"</f>
        <v>2148</v>
      </c>
      <c r="B949" s="3" t="s">
        <v>1502</v>
      </c>
      <c r="C949" s="3" t="str">
        <f>"坡子街街道"</f>
        <v>坡子街街道</v>
      </c>
      <c r="D949" s="3" t="str">
        <f>"登仁桥社区"</f>
        <v>登仁桥社区</v>
      </c>
      <c r="E949" s="3" t="str">
        <f t="shared" si="322"/>
        <v>140</v>
      </c>
      <c r="F949" s="3" t="str">
        <f t="shared" si="321"/>
        <v>100</v>
      </c>
      <c r="G949" s="3" t="str">
        <f>"二级"</f>
        <v>二级</v>
      </c>
    </row>
    <row r="950" customHeight="1" spans="1:7">
      <c r="A950" s="3" t="str">
        <f>"2149"</f>
        <v>2149</v>
      </c>
      <c r="B950" s="3" t="s">
        <v>1057</v>
      </c>
      <c r="C950" s="3" t="str">
        <f>"裕南街街道"</f>
        <v>裕南街街道</v>
      </c>
      <c r="D950" s="3" t="str">
        <f>"石子冲社区"</f>
        <v>石子冲社区</v>
      </c>
      <c r="E950" s="3" t="str">
        <f t="shared" si="322"/>
        <v>140</v>
      </c>
      <c r="F950" s="3" t="str">
        <f t="shared" si="321"/>
        <v>100</v>
      </c>
      <c r="G950" s="3" t="str">
        <f>"二级"</f>
        <v>二级</v>
      </c>
    </row>
    <row r="951" customHeight="1" spans="1:7">
      <c r="A951" s="3" t="str">
        <f>"2150"</f>
        <v>2150</v>
      </c>
      <c r="B951" s="3" t="s">
        <v>129</v>
      </c>
      <c r="C951" s="3" t="str">
        <f t="shared" ref="C951:C955" si="337">"城南路街道"</f>
        <v>城南路街道</v>
      </c>
      <c r="D951" s="3" t="str">
        <f t="shared" ref="D951:D955" si="338">"熙台岭社区"</f>
        <v>熙台岭社区</v>
      </c>
      <c r="E951" s="3" t="str">
        <f t="shared" si="322"/>
        <v>140</v>
      </c>
      <c r="F951" s="3" t="str">
        <f t="shared" ref="F951:F954" si="339">"0"</f>
        <v>0</v>
      </c>
      <c r="G951" s="3" t="str">
        <f t="shared" ref="G951:G954" si="340">"四级"</f>
        <v>四级</v>
      </c>
    </row>
    <row r="952" customHeight="1" spans="1:7">
      <c r="A952" s="3" t="str">
        <f>"2151"</f>
        <v>2151</v>
      </c>
      <c r="B952" s="3" t="s">
        <v>1503</v>
      </c>
      <c r="C952" s="3" t="str">
        <f t="shared" si="337"/>
        <v>城南路街道</v>
      </c>
      <c r="D952" s="3" t="str">
        <f t="shared" si="338"/>
        <v>熙台岭社区</v>
      </c>
      <c r="E952" s="3" t="str">
        <f t="shared" si="322"/>
        <v>140</v>
      </c>
      <c r="F952" s="3" t="str">
        <f t="shared" si="339"/>
        <v>0</v>
      </c>
      <c r="G952" s="3" t="str">
        <f>"三级"</f>
        <v>三级</v>
      </c>
    </row>
    <row r="953" customHeight="1" spans="1:7">
      <c r="A953" s="3" t="str">
        <f>"2152"</f>
        <v>2152</v>
      </c>
      <c r="B953" s="3" t="s">
        <v>1504</v>
      </c>
      <c r="C953" s="3" t="str">
        <f t="shared" si="337"/>
        <v>城南路街道</v>
      </c>
      <c r="D953" s="3" t="str">
        <f t="shared" si="338"/>
        <v>熙台岭社区</v>
      </c>
      <c r="E953" s="3" t="str">
        <f t="shared" si="322"/>
        <v>140</v>
      </c>
      <c r="F953" s="3" t="str">
        <f t="shared" si="339"/>
        <v>0</v>
      </c>
      <c r="G953" s="3" t="str">
        <f t="shared" si="340"/>
        <v>四级</v>
      </c>
    </row>
    <row r="954" customHeight="1" spans="1:7">
      <c r="A954" s="3" t="str">
        <f>"2153"</f>
        <v>2153</v>
      </c>
      <c r="B954" s="3" t="s">
        <v>1505</v>
      </c>
      <c r="C954" s="3" t="str">
        <f t="shared" si="337"/>
        <v>城南路街道</v>
      </c>
      <c r="D954" s="3" t="str">
        <f t="shared" si="338"/>
        <v>熙台岭社区</v>
      </c>
      <c r="E954" s="3" t="str">
        <f t="shared" si="322"/>
        <v>140</v>
      </c>
      <c r="F954" s="3" t="str">
        <f t="shared" si="339"/>
        <v>0</v>
      </c>
      <c r="G954" s="3" t="str">
        <f t="shared" si="340"/>
        <v>四级</v>
      </c>
    </row>
    <row r="955" customHeight="1" spans="1:7">
      <c r="A955" s="3" t="str">
        <f>"2154"</f>
        <v>2154</v>
      </c>
      <c r="B955" s="3" t="s">
        <v>307</v>
      </c>
      <c r="C955" s="3" t="str">
        <f t="shared" si="337"/>
        <v>城南路街道</v>
      </c>
      <c r="D955" s="3" t="str">
        <f t="shared" si="338"/>
        <v>熙台岭社区</v>
      </c>
      <c r="E955" s="3" t="str">
        <f t="shared" si="322"/>
        <v>140</v>
      </c>
      <c r="F955" s="3" t="str">
        <f>"100"</f>
        <v>100</v>
      </c>
      <c r="G955" s="3" t="str">
        <f>"二级"</f>
        <v>二级</v>
      </c>
    </row>
    <row r="956" customHeight="1" spans="1:7">
      <c r="A956" s="3" t="str">
        <f>"2155"</f>
        <v>2155</v>
      </c>
      <c r="B956" s="3" t="s">
        <v>495</v>
      </c>
      <c r="C956" s="3" t="str">
        <f>"南托街道"</f>
        <v>南托街道</v>
      </c>
      <c r="D956" s="3" t="str">
        <f>"沿江村"</f>
        <v>沿江村</v>
      </c>
      <c r="E956" s="3" t="str">
        <f t="shared" si="322"/>
        <v>140</v>
      </c>
      <c r="F956" s="3" t="str">
        <f t="shared" ref="F956:F978" si="341">"0"</f>
        <v>0</v>
      </c>
      <c r="G956" s="3" t="str">
        <f t="shared" ref="G956:G959" si="342">"四级"</f>
        <v>四级</v>
      </c>
    </row>
    <row r="957" customHeight="1" spans="1:7">
      <c r="A957" s="3" t="str">
        <f>"2156"</f>
        <v>2156</v>
      </c>
      <c r="B957" s="3" t="s">
        <v>416</v>
      </c>
      <c r="C957" s="3" t="str">
        <f t="shared" ref="C957:C959" si="343">"暮云街道"</f>
        <v>暮云街道</v>
      </c>
      <c r="D957" s="3" t="str">
        <f t="shared" ref="D957:D959" si="344">"莲华村"</f>
        <v>莲华村</v>
      </c>
      <c r="E957" s="3" t="str">
        <f t="shared" si="322"/>
        <v>140</v>
      </c>
      <c r="F957" s="3" t="str">
        <f t="shared" si="341"/>
        <v>0</v>
      </c>
      <c r="G957" s="3" t="str">
        <f t="shared" ref="G957:G967" si="345">"三级"</f>
        <v>三级</v>
      </c>
    </row>
    <row r="958" customHeight="1" spans="1:7">
      <c r="A958" s="3" t="str">
        <f>"2157"</f>
        <v>2157</v>
      </c>
      <c r="B958" s="3" t="s">
        <v>1506</v>
      </c>
      <c r="C958" s="3" t="str">
        <f t="shared" si="343"/>
        <v>暮云街道</v>
      </c>
      <c r="D958" s="3" t="str">
        <f t="shared" si="344"/>
        <v>莲华村</v>
      </c>
      <c r="E958" s="3" t="str">
        <f t="shared" si="322"/>
        <v>140</v>
      </c>
      <c r="F958" s="3" t="str">
        <f t="shared" si="341"/>
        <v>0</v>
      </c>
      <c r="G958" s="3" t="str">
        <f t="shared" si="342"/>
        <v>四级</v>
      </c>
    </row>
    <row r="959" customHeight="1" spans="1:7">
      <c r="A959" s="3" t="str">
        <f>"2158"</f>
        <v>2158</v>
      </c>
      <c r="B959" s="3" t="s">
        <v>1507</v>
      </c>
      <c r="C959" s="3" t="str">
        <f t="shared" si="343"/>
        <v>暮云街道</v>
      </c>
      <c r="D959" s="3" t="str">
        <f t="shared" si="344"/>
        <v>莲华村</v>
      </c>
      <c r="E959" s="3" t="str">
        <f t="shared" si="322"/>
        <v>140</v>
      </c>
      <c r="F959" s="3" t="str">
        <f t="shared" si="341"/>
        <v>0</v>
      </c>
      <c r="G959" s="3" t="str">
        <f t="shared" si="342"/>
        <v>四级</v>
      </c>
    </row>
    <row r="960" customHeight="1" spans="1:7">
      <c r="A960" s="3" t="str">
        <f>"2159"</f>
        <v>2159</v>
      </c>
      <c r="B960" s="3" t="s">
        <v>1326</v>
      </c>
      <c r="C960" s="3" t="str">
        <f>"南托街道"</f>
        <v>南托街道</v>
      </c>
      <c r="D960" s="3" t="str">
        <f>"滨洲新村"</f>
        <v>滨洲新村</v>
      </c>
      <c r="E960" s="3" t="str">
        <f t="shared" si="322"/>
        <v>140</v>
      </c>
      <c r="F960" s="3" t="str">
        <f t="shared" si="341"/>
        <v>0</v>
      </c>
      <c r="G960" s="3" t="str">
        <f t="shared" si="345"/>
        <v>三级</v>
      </c>
    </row>
    <row r="961" customHeight="1" spans="1:7">
      <c r="A961" s="3" t="str">
        <f>"2160"</f>
        <v>2160</v>
      </c>
      <c r="B961" s="3" t="s">
        <v>1508</v>
      </c>
      <c r="C961" s="3" t="str">
        <f t="shared" ref="C961:C963" si="346">"裕南街街道"</f>
        <v>裕南街街道</v>
      </c>
      <c r="D961" s="3" t="str">
        <f t="shared" ref="D961:D963" si="347">"石子冲社区"</f>
        <v>石子冲社区</v>
      </c>
      <c r="E961" s="3" t="str">
        <f t="shared" si="322"/>
        <v>140</v>
      </c>
      <c r="F961" s="3" t="str">
        <f t="shared" si="341"/>
        <v>0</v>
      </c>
      <c r="G961" s="3" t="str">
        <f>"四级"</f>
        <v>四级</v>
      </c>
    </row>
    <row r="962" customHeight="1" spans="1:7">
      <c r="A962" s="3" t="str">
        <f>"2161"</f>
        <v>2161</v>
      </c>
      <c r="B962" s="3" t="s">
        <v>1509</v>
      </c>
      <c r="C962" s="3" t="str">
        <f t="shared" si="346"/>
        <v>裕南街街道</v>
      </c>
      <c r="D962" s="3" t="str">
        <f t="shared" si="347"/>
        <v>石子冲社区</v>
      </c>
      <c r="E962" s="3" t="str">
        <f t="shared" ref="E962:E1025" si="348">"140"</f>
        <v>140</v>
      </c>
      <c r="F962" s="3" t="str">
        <f t="shared" si="341"/>
        <v>0</v>
      </c>
      <c r="G962" s="3" t="str">
        <f t="shared" si="345"/>
        <v>三级</v>
      </c>
    </row>
    <row r="963" customHeight="1" spans="1:7">
      <c r="A963" s="3" t="str">
        <f>"2162"</f>
        <v>2162</v>
      </c>
      <c r="B963" s="3" t="s">
        <v>1510</v>
      </c>
      <c r="C963" s="3" t="str">
        <f t="shared" si="346"/>
        <v>裕南街街道</v>
      </c>
      <c r="D963" s="3" t="str">
        <f t="shared" si="347"/>
        <v>石子冲社区</v>
      </c>
      <c r="E963" s="3" t="str">
        <f t="shared" si="348"/>
        <v>140</v>
      </c>
      <c r="F963" s="3" t="str">
        <f t="shared" si="341"/>
        <v>0</v>
      </c>
      <c r="G963" s="3" t="str">
        <f t="shared" si="345"/>
        <v>三级</v>
      </c>
    </row>
    <row r="964" customHeight="1" spans="1:7">
      <c r="A964" s="3" t="str">
        <f>"2163"</f>
        <v>2163</v>
      </c>
      <c r="B964" s="3" t="s">
        <v>68</v>
      </c>
      <c r="C964" s="3" t="str">
        <f>"南托街道"</f>
        <v>南托街道</v>
      </c>
      <c r="D964" s="3" t="str">
        <f>"牛角塘村"</f>
        <v>牛角塘村</v>
      </c>
      <c r="E964" s="3" t="str">
        <f t="shared" si="348"/>
        <v>140</v>
      </c>
      <c r="F964" s="3" t="str">
        <f t="shared" si="341"/>
        <v>0</v>
      </c>
      <c r="G964" s="3" t="str">
        <f t="shared" si="345"/>
        <v>三级</v>
      </c>
    </row>
    <row r="965" customHeight="1" spans="1:7">
      <c r="A965" s="3" t="str">
        <f>"2164"</f>
        <v>2164</v>
      </c>
      <c r="B965" s="3" t="s">
        <v>1511</v>
      </c>
      <c r="C965" s="3" t="str">
        <f>"城南路街道"</f>
        <v>城南路街道</v>
      </c>
      <c r="D965" s="3" t="str">
        <f>"古道巷社区"</f>
        <v>古道巷社区</v>
      </c>
      <c r="E965" s="3" t="str">
        <f t="shared" si="348"/>
        <v>140</v>
      </c>
      <c r="F965" s="3" t="str">
        <f t="shared" si="341"/>
        <v>0</v>
      </c>
      <c r="G965" s="3" t="str">
        <f t="shared" si="345"/>
        <v>三级</v>
      </c>
    </row>
    <row r="966" customHeight="1" spans="1:7">
      <c r="A966" s="3" t="str">
        <f>"2165"</f>
        <v>2165</v>
      </c>
      <c r="B966" s="3" t="s">
        <v>1512</v>
      </c>
      <c r="C966" s="3" t="str">
        <f>"金盆岭街道"</f>
        <v>金盆岭街道</v>
      </c>
      <c r="D966" s="3" t="str">
        <f>"夏家冲社区"</f>
        <v>夏家冲社区</v>
      </c>
      <c r="E966" s="3" t="str">
        <f t="shared" si="348"/>
        <v>140</v>
      </c>
      <c r="F966" s="3" t="str">
        <f t="shared" si="341"/>
        <v>0</v>
      </c>
      <c r="G966" s="3" t="str">
        <f t="shared" si="345"/>
        <v>三级</v>
      </c>
    </row>
    <row r="967" customHeight="1" spans="1:7">
      <c r="A967" s="3" t="str">
        <f>"2166"</f>
        <v>2166</v>
      </c>
      <c r="B967" s="3" t="s">
        <v>1513</v>
      </c>
      <c r="C967" s="3" t="str">
        <f t="shared" ref="C967:C971" si="349">"坡子街街道"</f>
        <v>坡子街街道</v>
      </c>
      <c r="D967" s="3" t="str">
        <f t="shared" ref="D967:D971" si="350">"创远社区"</f>
        <v>创远社区</v>
      </c>
      <c r="E967" s="3" t="str">
        <f t="shared" si="348"/>
        <v>140</v>
      </c>
      <c r="F967" s="3" t="str">
        <f t="shared" si="341"/>
        <v>0</v>
      </c>
      <c r="G967" s="3" t="str">
        <f t="shared" si="345"/>
        <v>三级</v>
      </c>
    </row>
    <row r="968" customHeight="1" spans="1:7">
      <c r="A968" s="3" t="str">
        <f>"2167"</f>
        <v>2167</v>
      </c>
      <c r="B968" s="3" t="s">
        <v>1142</v>
      </c>
      <c r="C968" s="3" t="str">
        <f>"金盆岭街道"</f>
        <v>金盆岭街道</v>
      </c>
      <c r="D968" s="3" t="str">
        <f>"夏家冲社区"</f>
        <v>夏家冲社区</v>
      </c>
      <c r="E968" s="3" t="str">
        <f t="shared" si="348"/>
        <v>140</v>
      </c>
      <c r="F968" s="3" t="str">
        <f t="shared" si="341"/>
        <v>0</v>
      </c>
      <c r="G968" s="3" t="str">
        <f t="shared" ref="G968:G978" si="351">"四级"</f>
        <v>四级</v>
      </c>
    </row>
    <row r="969" customHeight="1" spans="1:7">
      <c r="A969" s="3" t="str">
        <f>"2168"</f>
        <v>2168</v>
      </c>
      <c r="B969" s="3" t="s">
        <v>1514</v>
      </c>
      <c r="C969" s="3" t="str">
        <f t="shared" si="349"/>
        <v>坡子街街道</v>
      </c>
      <c r="D969" s="3" t="str">
        <f t="shared" si="350"/>
        <v>创远社区</v>
      </c>
      <c r="E969" s="3" t="str">
        <f t="shared" si="348"/>
        <v>140</v>
      </c>
      <c r="F969" s="3" t="str">
        <f t="shared" si="341"/>
        <v>0</v>
      </c>
      <c r="G969" s="3" t="str">
        <f t="shared" si="351"/>
        <v>四级</v>
      </c>
    </row>
    <row r="970" customHeight="1" spans="1:7">
      <c r="A970" s="3" t="str">
        <f>"2169"</f>
        <v>2169</v>
      </c>
      <c r="B970" s="3" t="s">
        <v>330</v>
      </c>
      <c r="C970" s="3" t="str">
        <f t="shared" si="349"/>
        <v>坡子街街道</v>
      </c>
      <c r="D970" s="3" t="str">
        <f t="shared" si="350"/>
        <v>创远社区</v>
      </c>
      <c r="E970" s="3" t="str">
        <f t="shared" si="348"/>
        <v>140</v>
      </c>
      <c r="F970" s="3" t="str">
        <f t="shared" si="341"/>
        <v>0</v>
      </c>
      <c r="G970" s="3" t="str">
        <f>"三级"</f>
        <v>三级</v>
      </c>
    </row>
    <row r="971" customHeight="1" spans="1:7">
      <c r="A971" s="3" t="str">
        <f>"2170"</f>
        <v>2170</v>
      </c>
      <c r="B971" s="3" t="s">
        <v>829</v>
      </c>
      <c r="C971" s="3" t="str">
        <f t="shared" si="349"/>
        <v>坡子街街道</v>
      </c>
      <c r="D971" s="3" t="str">
        <f t="shared" si="350"/>
        <v>创远社区</v>
      </c>
      <c r="E971" s="3" t="str">
        <f t="shared" si="348"/>
        <v>140</v>
      </c>
      <c r="F971" s="3" t="str">
        <f t="shared" si="341"/>
        <v>0</v>
      </c>
      <c r="G971" s="3" t="str">
        <f t="shared" si="351"/>
        <v>四级</v>
      </c>
    </row>
    <row r="972" customHeight="1" spans="1:7">
      <c r="A972" s="3" t="str">
        <f>"2171"</f>
        <v>2171</v>
      </c>
      <c r="B972" s="3" t="s">
        <v>1515</v>
      </c>
      <c r="C972" s="3" t="str">
        <f>"金盆岭街道"</f>
        <v>金盆岭街道</v>
      </c>
      <c r="D972" s="3" t="str">
        <f>"夏家冲社区"</f>
        <v>夏家冲社区</v>
      </c>
      <c r="E972" s="3" t="str">
        <f t="shared" si="348"/>
        <v>140</v>
      </c>
      <c r="F972" s="3" t="str">
        <f t="shared" si="341"/>
        <v>0</v>
      </c>
      <c r="G972" s="3" t="str">
        <f t="shared" si="351"/>
        <v>四级</v>
      </c>
    </row>
    <row r="973" customHeight="1" spans="1:7">
      <c r="A973" s="3" t="str">
        <f>"2172"</f>
        <v>2172</v>
      </c>
      <c r="B973" s="3" t="s">
        <v>1516</v>
      </c>
      <c r="C973" s="3" t="str">
        <f>"裕南街街道"</f>
        <v>裕南街街道</v>
      </c>
      <c r="D973" s="3" t="str">
        <f>"火把山社区"</f>
        <v>火把山社区</v>
      </c>
      <c r="E973" s="3" t="str">
        <f t="shared" si="348"/>
        <v>140</v>
      </c>
      <c r="F973" s="3" t="str">
        <f t="shared" si="341"/>
        <v>0</v>
      </c>
      <c r="G973" s="3" t="str">
        <f t="shared" si="351"/>
        <v>四级</v>
      </c>
    </row>
    <row r="974" customHeight="1" spans="1:7">
      <c r="A974" s="3" t="str">
        <f>"2173"</f>
        <v>2173</v>
      </c>
      <c r="B974" s="3" t="s">
        <v>139</v>
      </c>
      <c r="C974" s="3" t="str">
        <f>"裕南街街道"</f>
        <v>裕南街街道</v>
      </c>
      <c r="D974" s="3" t="str">
        <f>"火把山社区"</f>
        <v>火把山社区</v>
      </c>
      <c r="E974" s="3" t="str">
        <f t="shared" si="348"/>
        <v>140</v>
      </c>
      <c r="F974" s="3" t="str">
        <f t="shared" si="341"/>
        <v>0</v>
      </c>
      <c r="G974" s="3" t="str">
        <f t="shared" si="351"/>
        <v>四级</v>
      </c>
    </row>
    <row r="975" customHeight="1" spans="1:7">
      <c r="A975" s="3" t="str">
        <f>"2174"</f>
        <v>2174</v>
      </c>
      <c r="B975" s="3" t="s">
        <v>1517</v>
      </c>
      <c r="C975" s="3" t="str">
        <f>"金盆岭街道"</f>
        <v>金盆岭街道</v>
      </c>
      <c r="D975" s="3" t="str">
        <f>"夏家冲社区"</f>
        <v>夏家冲社区</v>
      </c>
      <c r="E975" s="3" t="str">
        <f t="shared" si="348"/>
        <v>140</v>
      </c>
      <c r="F975" s="3" t="str">
        <f t="shared" si="341"/>
        <v>0</v>
      </c>
      <c r="G975" s="3" t="str">
        <f t="shared" si="351"/>
        <v>四级</v>
      </c>
    </row>
    <row r="976" customHeight="1" spans="1:7">
      <c r="A976" s="3" t="str">
        <f>"2175"</f>
        <v>2175</v>
      </c>
      <c r="B976" s="3" t="s">
        <v>1518</v>
      </c>
      <c r="C976" s="3" t="str">
        <f t="shared" ref="C976:C981" si="352">"坡子街街道"</f>
        <v>坡子街街道</v>
      </c>
      <c r="D976" s="3" t="str">
        <f t="shared" ref="D976:D980" si="353">"青山祠社区"</f>
        <v>青山祠社区</v>
      </c>
      <c r="E976" s="3" t="str">
        <f t="shared" si="348"/>
        <v>140</v>
      </c>
      <c r="F976" s="3" t="str">
        <f t="shared" si="341"/>
        <v>0</v>
      </c>
      <c r="G976" s="3" t="str">
        <f t="shared" si="351"/>
        <v>四级</v>
      </c>
    </row>
    <row r="977" customHeight="1" spans="1:7">
      <c r="A977" s="3" t="str">
        <f>"2176"</f>
        <v>2176</v>
      </c>
      <c r="B977" s="3" t="s">
        <v>68</v>
      </c>
      <c r="C977" s="3" t="str">
        <f t="shared" si="352"/>
        <v>坡子街街道</v>
      </c>
      <c r="D977" s="3" t="str">
        <f t="shared" si="353"/>
        <v>青山祠社区</v>
      </c>
      <c r="E977" s="3" t="str">
        <f t="shared" si="348"/>
        <v>140</v>
      </c>
      <c r="F977" s="3" t="str">
        <f t="shared" si="341"/>
        <v>0</v>
      </c>
      <c r="G977" s="3" t="str">
        <f t="shared" si="351"/>
        <v>四级</v>
      </c>
    </row>
    <row r="978" customHeight="1" spans="1:7">
      <c r="A978" s="3" t="str">
        <f>"2177"</f>
        <v>2177</v>
      </c>
      <c r="B978" s="3" t="s">
        <v>1519</v>
      </c>
      <c r="C978" s="3" t="str">
        <f t="shared" si="352"/>
        <v>坡子街街道</v>
      </c>
      <c r="D978" s="3" t="str">
        <f t="shared" si="353"/>
        <v>青山祠社区</v>
      </c>
      <c r="E978" s="3" t="str">
        <f t="shared" si="348"/>
        <v>140</v>
      </c>
      <c r="F978" s="3" t="str">
        <f t="shared" si="341"/>
        <v>0</v>
      </c>
      <c r="G978" s="3" t="str">
        <f t="shared" si="351"/>
        <v>四级</v>
      </c>
    </row>
    <row r="979" customHeight="1" spans="1:7">
      <c r="A979" s="3" t="str">
        <f>"2178"</f>
        <v>2178</v>
      </c>
      <c r="B979" s="3" t="s">
        <v>1520</v>
      </c>
      <c r="C979" s="3" t="str">
        <f t="shared" si="352"/>
        <v>坡子街街道</v>
      </c>
      <c r="D979" s="3" t="str">
        <f t="shared" si="353"/>
        <v>青山祠社区</v>
      </c>
      <c r="E979" s="3" t="str">
        <f t="shared" si="348"/>
        <v>140</v>
      </c>
      <c r="F979" s="3" t="str">
        <f>"100"</f>
        <v>100</v>
      </c>
      <c r="G979" s="3" t="str">
        <f>"一级"</f>
        <v>一级</v>
      </c>
    </row>
    <row r="980" customHeight="1" spans="1:7">
      <c r="A980" s="3" t="str">
        <f>"2179"</f>
        <v>2179</v>
      </c>
      <c r="B980" s="3" t="s">
        <v>413</v>
      </c>
      <c r="C980" s="3" t="str">
        <f t="shared" si="352"/>
        <v>坡子街街道</v>
      </c>
      <c r="D980" s="3" t="str">
        <f t="shared" si="353"/>
        <v>青山祠社区</v>
      </c>
      <c r="E980" s="3" t="str">
        <f t="shared" si="348"/>
        <v>140</v>
      </c>
      <c r="F980" s="3" t="str">
        <f t="shared" ref="F980:F985" si="354">"0"</f>
        <v>0</v>
      </c>
      <c r="G980" s="3" t="str">
        <f t="shared" ref="G980:G983" si="355">"三级"</f>
        <v>三级</v>
      </c>
    </row>
    <row r="981" customHeight="1" spans="1:7">
      <c r="A981" s="3" t="str">
        <f>"2180"</f>
        <v>2180</v>
      </c>
      <c r="B981" s="3" t="s">
        <v>139</v>
      </c>
      <c r="C981" s="3" t="str">
        <f t="shared" si="352"/>
        <v>坡子街街道</v>
      </c>
      <c r="D981" s="3" t="str">
        <f t="shared" ref="D981:D987" si="356">"西牌楼社区"</f>
        <v>西牌楼社区</v>
      </c>
      <c r="E981" s="3" t="str">
        <f t="shared" si="348"/>
        <v>140</v>
      </c>
      <c r="F981" s="3" t="str">
        <f t="shared" si="354"/>
        <v>0</v>
      </c>
      <c r="G981" s="3" t="str">
        <f t="shared" si="355"/>
        <v>三级</v>
      </c>
    </row>
    <row r="982" customHeight="1" spans="1:7">
      <c r="A982" s="3" t="str">
        <f>"2181"</f>
        <v>2181</v>
      </c>
      <c r="B982" s="3" t="s">
        <v>1521</v>
      </c>
      <c r="C982" s="3" t="str">
        <f>"桂花坪街道"</f>
        <v>桂花坪街道</v>
      </c>
      <c r="D982" s="3" t="str">
        <f>"九峰苑社区"</f>
        <v>九峰苑社区</v>
      </c>
      <c r="E982" s="3" t="str">
        <f t="shared" si="348"/>
        <v>140</v>
      </c>
      <c r="F982" s="3" t="str">
        <f>"100"</f>
        <v>100</v>
      </c>
      <c r="G982" s="3" t="str">
        <f>"二级"</f>
        <v>二级</v>
      </c>
    </row>
    <row r="983" customHeight="1" spans="1:7">
      <c r="A983" s="3" t="str">
        <f>"2182"</f>
        <v>2182</v>
      </c>
      <c r="B983" s="3" t="s">
        <v>1522</v>
      </c>
      <c r="C983" s="3" t="str">
        <f t="shared" ref="C983:C987" si="357">"坡子街街道"</f>
        <v>坡子街街道</v>
      </c>
      <c r="D983" s="3" t="str">
        <f>"文庙坪社区"</f>
        <v>文庙坪社区</v>
      </c>
      <c r="E983" s="3" t="str">
        <f t="shared" si="348"/>
        <v>140</v>
      </c>
      <c r="F983" s="3" t="str">
        <f t="shared" si="354"/>
        <v>0</v>
      </c>
      <c r="G983" s="3" t="str">
        <f t="shared" si="355"/>
        <v>三级</v>
      </c>
    </row>
    <row r="984" customHeight="1" spans="1:7">
      <c r="A984" s="3" t="str">
        <f>"2183"</f>
        <v>2183</v>
      </c>
      <c r="B984" s="3" t="s">
        <v>68</v>
      </c>
      <c r="C984" s="3" t="str">
        <f>"城南路街道"</f>
        <v>城南路街道</v>
      </c>
      <c r="D984" s="3" t="str">
        <f>"燕子岭社区"</f>
        <v>燕子岭社区</v>
      </c>
      <c r="E984" s="3" t="str">
        <f t="shared" si="348"/>
        <v>140</v>
      </c>
      <c r="F984" s="3" t="str">
        <f t="shared" si="354"/>
        <v>0</v>
      </c>
      <c r="G984" s="3" t="str">
        <f>"四级"</f>
        <v>四级</v>
      </c>
    </row>
    <row r="985" customHeight="1" spans="1:7">
      <c r="A985" s="3" t="str">
        <f>"2184"</f>
        <v>2184</v>
      </c>
      <c r="B985" s="3" t="s">
        <v>1438</v>
      </c>
      <c r="C985" s="3" t="str">
        <f t="shared" si="357"/>
        <v>坡子街街道</v>
      </c>
      <c r="D985" s="3" t="str">
        <f t="shared" si="356"/>
        <v>西牌楼社区</v>
      </c>
      <c r="E985" s="3" t="str">
        <f t="shared" si="348"/>
        <v>140</v>
      </c>
      <c r="F985" s="3" t="str">
        <f t="shared" si="354"/>
        <v>0</v>
      </c>
      <c r="G985" s="3" t="str">
        <f t="shared" ref="G985:G990" si="358">"三级"</f>
        <v>三级</v>
      </c>
    </row>
    <row r="986" customHeight="1" spans="1:7">
      <c r="A986" s="3" t="str">
        <f>"2185"</f>
        <v>2185</v>
      </c>
      <c r="B986" s="3" t="s">
        <v>306</v>
      </c>
      <c r="C986" s="3" t="str">
        <f t="shared" si="357"/>
        <v>坡子街街道</v>
      </c>
      <c r="D986" s="3" t="str">
        <f t="shared" si="356"/>
        <v>西牌楼社区</v>
      </c>
      <c r="E986" s="3" t="str">
        <f t="shared" si="348"/>
        <v>140</v>
      </c>
      <c r="F986" s="3" t="str">
        <f>"100"</f>
        <v>100</v>
      </c>
      <c r="G986" s="3" t="str">
        <f>"二级"</f>
        <v>二级</v>
      </c>
    </row>
    <row r="987" customHeight="1" spans="1:7">
      <c r="A987" s="3" t="str">
        <f>"2186"</f>
        <v>2186</v>
      </c>
      <c r="B987" s="3" t="s">
        <v>1523</v>
      </c>
      <c r="C987" s="3" t="str">
        <f t="shared" si="357"/>
        <v>坡子街街道</v>
      </c>
      <c r="D987" s="3" t="str">
        <f t="shared" si="356"/>
        <v>西牌楼社区</v>
      </c>
      <c r="E987" s="3" t="str">
        <f t="shared" si="348"/>
        <v>140</v>
      </c>
      <c r="F987" s="3" t="str">
        <f t="shared" ref="F987:F992" si="359">"0"</f>
        <v>0</v>
      </c>
      <c r="G987" s="3" t="str">
        <f>"四级"</f>
        <v>四级</v>
      </c>
    </row>
    <row r="988" customHeight="1" spans="1:7">
      <c r="A988" s="3" t="str">
        <f>"2187"</f>
        <v>2187</v>
      </c>
      <c r="B988" s="3" t="s">
        <v>1524</v>
      </c>
      <c r="C988" s="3" t="str">
        <f>"先锋街道"</f>
        <v>先锋街道</v>
      </c>
      <c r="D988" s="3" t="str">
        <f>"新宇社区"</f>
        <v>新宇社区</v>
      </c>
      <c r="E988" s="3" t="str">
        <f t="shared" si="348"/>
        <v>140</v>
      </c>
      <c r="F988" s="3" t="str">
        <f t="shared" si="359"/>
        <v>0</v>
      </c>
      <c r="G988" s="3" t="str">
        <f t="shared" si="358"/>
        <v>三级</v>
      </c>
    </row>
    <row r="989" customHeight="1" spans="1:7">
      <c r="A989" s="3" t="str">
        <f>"2188"</f>
        <v>2188</v>
      </c>
      <c r="B989" s="3" t="s">
        <v>1525</v>
      </c>
      <c r="C989" s="3" t="str">
        <f>"裕南街街道"</f>
        <v>裕南街街道</v>
      </c>
      <c r="D989" s="3" t="str">
        <f>"向东南社区"</f>
        <v>向东南社区</v>
      </c>
      <c r="E989" s="3" t="str">
        <f t="shared" si="348"/>
        <v>140</v>
      </c>
      <c r="F989" s="3" t="str">
        <f t="shared" si="359"/>
        <v>0</v>
      </c>
      <c r="G989" s="3" t="str">
        <f t="shared" si="358"/>
        <v>三级</v>
      </c>
    </row>
    <row r="990" customHeight="1" spans="1:7">
      <c r="A990" s="3" t="str">
        <f>"2189"</f>
        <v>2189</v>
      </c>
      <c r="B990" s="3" t="s">
        <v>1526</v>
      </c>
      <c r="C990" s="3" t="str">
        <f t="shared" ref="C990:C994" si="360">"城南路街道"</f>
        <v>城南路街道</v>
      </c>
      <c r="D990" s="3" t="str">
        <f t="shared" ref="D990:D994" si="361">"燕子岭社区"</f>
        <v>燕子岭社区</v>
      </c>
      <c r="E990" s="3" t="str">
        <f t="shared" si="348"/>
        <v>140</v>
      </c>
      <c r="F990" s="3" t="str">
        <f t="shared" si="359"/>
        <v>0</v>
      </c>
      <c r="G990" s="3" t="str">
        <f t="shared" si="358"/>
        <v>三级</v>
      </c>
    </row>
    <row r="991" customHeight="1" spans="1:7">
      <c r="A991" s="3" t="str">
        <f>"2190"</f>
        <v>2190</v>
      </c>
      <c r="B991" s="3" t="s">
        <v>452</v>
      </c>
      <c r="C991" s="3" t="str">
        <f t="shared" si="360"/>
        <v>城南路街道</v>
      </c>
      <c r="D991" s="3" t="str">
        <f t="shared" si="361"/>
        <v>燕子岭社区</v>
      </c>
      <c r="E991" s="3" t="str">
        <f t="shared" si="348"/>
        <v>140</v>
      </c>
      <c r="F991" s="3" t="str">
        <f t="shared" si="359"/>
        <v>0</v>
      </c>
      <c r="G991" s="3" t="str">
        <f>"四级"</f>
        <v>四级</v>
      </c>
    </row>
    <row r="992" customHeight="1" spans="1:7">
      <c r="A992" s="3" t="str">
        <f>"2191"</f>
        <v>2191</v>
      </c>
      <c r="B992" s="3" t="s">
        <v>1527</v>
      </c>
      <c r="C992" s="3" t="str">
        <f t="shared" si="360"/>
        <v>城南路街道</v>
      </c>
      <c r="D992" s="3" t="str">
        <f t="shared" si="361"/>
        <v>燕子岭社区</v>
      </c>
      <c r="E992" s="3" t="str">
        <f t="shared" si="348"/>
        <v>140</v>
      </c>
      <c r="F992" s="3" t="str">
        <f t="shared" si="359"/>
        <v>0</v>
      </c>
      <c r="G992" s="3" t="str">
        <f t="shared" ref="G992:G996" si="362">"三级"</f>
        <v>三级</v>
      </c>
    </row>
    <row r="993" customHeight="1" spans="1:7">
      <c r="A993" s="3" t="str">
        <f>"2192"</f>
        <v>2192</v>
      </c>
      <c r="B993" s="3" t="s">
        <v>1528</v>
      </c>
      <c r="C993" s="3" t="str">
        <f t="shared" si="360"/>
        <v>城南路街道</v>
      </c>
      <c r="D993" s="3" t="str">
        <f t="shared" si="361"/>
        <v>燕子岭社区</v>
      </c>
      <c r="E993" s="3" t="str">
        <f t="shared" si="348"/>
        <v>140</v>
      </c>
      <c r="F993" s="3" t="str">
        <f>"100"</f>
        <v>100</v>
      </c>
      <c r="G993" s="3" t="str">
        <f>"一级"</f>
        <v>一级</v>
      </c>
    </row>
    <row r="994" customHeight="1" spans="1:7">
      <c r="A994" s="3" t="str">
        <f>"2193"</f>
        <v>2193</v>
      </c>
      <c r="B994" s="3" t="s">
        <v>730</v>
      </c>
      <c r="C994" s="3" t="str">
        <f t="shared" si="360"/>
        <v>城南路街道</v>
      </c>
      <c r="D994" s="3" t="str">
        <f t="shared" si="361"/>
        <v>燕子岭社区</v>
      </c>
      <c r="E994" s="3" t="str">
        <f t="shared" si="348"/>
        <v>140</v>
      </c>
      <c r="F994" s="3" t="str">
        <f t="shared" ref="F994:F1006" si="363">"0"</f>
        <v>0</v>
      </c>
      <c r="G994" s="3" t="str">
        <f t="shared" si="362"/>
        <v>三级</v>
      </c>
    </row>
    <row r="995" customHeight="1" spans="1:7">
      <c r="A995" s="3" t="str">
        <f>"2194"</f>
        <v>2194</v>
      </c>
      <c r="B995" s="3" t="s">
        <v>1529</v>
      </c>
      <c r="C995" s="3" t="str">
        <f>"先锋街道"</f>
        <v>先锋街道</v>
      </c>
      <c r="D995" s="3" t="str">
        <f>"新宇社区"</f>
        <v>新宇社区</v>
      </c>
      <c r="E995" s="3" t="str">
        <f t="shared" si="348"/>
        <v>140</v>
      </c>
      <c r="F995" s="3" t="str">
        <f>"100"</f>
        <v>100</v>
      </c>
      <c r="G995" s="3" t="str">
        <f>"二级"</f>
        <v>二级</v>
      </c>
    </row>
    <row r="996" customHeight="1" spans="1:7">
      <c r="A996" s="3" t="str">
        <f>"2195"</f>
        <v>2195</v>
      </c>
      <c r="B996" s="3" t="s">
        <v>1530</v>
      </c>
      <c r="C996" s="3" t="str">
        <f>"城南路街道"</f>
        <v>城南路街道</v>
      </c>
      <c r="D996" s="3" t="str">
        <f>"燕子岭社区"</f>
        <v>燕子岭社区</v>
      </c>
      <c r="E996" s="3" t="str">
        <f t="shared" si="348"/>
        <v>140</v>
      </c>
      <c r="F996" s="3" t="str">
        <f t="shared" si="363"/>
        <v>0</v>
      </c>
      <c r="G996" s="3" t="str">
        <f t="shared" si="362"/>
        <v>三级</v>
      </c>
    </row>
    <row r="997" customHeight="1" spans="1:7">
      <c r="A997" s="3" t="str">
        <f>"2196"</f>
        <v>2196</v>
      </c>
      <c r="B997" s="3" t="s">
        <v>241</v>
      </c>
      <c r="C997" s="3" t="str">
        <f>"城南路街道"</f>
        <v>城南路街道</v>
      </c>
      <c r="D997" s="3" t="str">
        <f>"天心阁社区"</f>
        <v>天心阁社区</v>
      </c>
      <c r="E997" s="3" t="str">
        <f t="shared" si="348"/>
        <v>140</v>
      </c>
      <c r="F997" s="3" t="str">
        <f t="shared" si="363"/>
        <v>0</v>
      </c>
      <c r="G997" s="3" t="str">
        <f t="shared" ref="G997:G999" si="364">"四级"</f>
        <v>四级</v>
      </c>
    </row>
    <row r="998" customHeight="1" spans="1:7">
      <c r="A998" s="3" t="str">
        <f>"2197"</f>
        <v>2197</v>
      </c>
      <c r="B998" s="3" t="s">
        <v>986</v>
      </c>
      <c r="C998" s="3" t="str">
        <f>"暮云街道"</f>
        <v>暮云街道</v>
      </c>
      <c r="D998" s="3" t="str">
        <f>"暮云社区"</f>
        <v>暮云社区</v>
      </c>
      <c r="E998" s="3" t="str">
        <f t="shared" si="348"/>
        <v>140</v>
      </c>
      <c r="F998" s="3" t="str">
        <f t="shared" si="363"/>
        <v>0</v>
      </c>
      <c r="G998" s="3" t="str">
        <f t="shared" si="364"/>
        <v>四级</v>
      </c>
    </row>
    <row r="999" customHeight="1" spans="1:7">
      <c r="A999" s="3" t="str">
        <f>"2198"</f>
        <v>2198</v>
      </c>
      <c r="B999" s="3" t="s">
        <v>1531</v>
      </c>
      <c r="C999" s="3" t="str">
        <f>"先锋街道"</f>
        <v>先锋街道</v>
      </c>
      <c r="D999" s="3" t="str">
        <f>"新路村委会"</f>
        <v>新路村委会</v>
      </c>
      <c r="E999" s="3" t="str">
        <f t="shared" si="348"/>
        <v>140</v>
      </c>
      <c r="F999" s="3" t="str">
        <f t="shared" si="363"/>
        <v>0</v>
      </c>
      <c r="G999" s="3" t="str">
        <f t="shared" si="364"/>
        <v>四级</v>
      </c>
    </row>
    <row r="1000" customHeight="1" spans="1:7">
      <c r="A1000" s="3" t="str">
        <f>"2199"</f>
        <v>2199</v>
      </c>
      <c r="B1000" s="3" t="s">
        <v>1467</v>
      </c>
      <c r="C1000" s="3" t="str">
        <f t="shared" ref="C1000:C1005" si="365">"裕南街街道"</f>
        <v>裕南街街道</v>
      </c>
      <c r="D1000" s="3" t="str">
        <f t="shared" ref="D1000:D1005" si="366">"火把山社区"</f>
        <v>火把山社区</v>
      </c>
      <c r="E1000" s="3" t="str">
        <f t="shared" si="348"/>
        <v>140</v>
      </c>
      <c r="F1000" s="3" t="str">
        <f t="shared" si="363"/>
        <v>0</v>
      </c>
      <c r="G1000" s="3" t="str">
        <f t="shared" ref="G1000:G1004" si="367">"三级"</f>
        <v>三级</v>
      </c>
    </row>
    <row r="1001" customHeight="1" spans="1:7">
      <c r="A1001" s="3" t="str">
        <f>"2200"</f>
        <v>2200</v>
      </c>
      <c r="B1001" s="3" t="s">
        <v>1532</v>
      </c>
      <c r="C1001" s="3" t="str">
        <f t="shared" si="365"/>
        <v>裕南街街道</v>
      </c>
      <c r="D1001" s="3" t="str">
        <f t="shared" si="366"/>
        <v>火把山社区</v>
      </c>
      <c r="E1001" s="3" t="str">
        <f t="shared" si="348"/>
        <v>140</v>
      </c>
      <c r="F1001" s="3" t="str">
        <f t="shared" si="363"/>
        <v>0</v>
      </c>
      <c r="G1001" s="3" t="str">
        <f t="shared" si="367"/>
        <v>三级</v>
      </c>
    </row>
    <row r="1002" customHeight="1" spans="1:7">
      <c r="A1002" s="3" t="str">
        <f>"2201"</f>
        <v>2201</v>
      </c>
      <c r="B1002" s="3" t="s">
        <v>80</v>
      </c>
      <c r="C1002" s="3" t="str">
        <f>"青园街道"</f>
        <v>青园街道</v>
      </c>
      <c r="D1002" s="3" t="str">
        <f>"青园社区"</f>
        <v>青园社区</v>
      </c>
      <c r="E1002" s="3" t="str">
        <f t="shared" si="348"/>
        <v>140</v>
      </c>
      <c r="F1002" s="3" t="str">
        <f t="shared" si="363"/>
        <v>0</v>
      </c>
      <c r="G1002" s="3" t="str">
        <f t="shared" ref="G1002:G1006" si="368">"四级"</f>
        <v>四级</v>
      </c>
    </row>
    <row r="1003" customHeight="1" spans="1:7">
      <c r="A1003" s="3" t="str">
        <f>"2202"</f>
        <v>2202</v>
      </c>
      <c r="B1003" s="3" t="s">
        <v>1533</v>
      </c>
      <c r="C1003" s="3" t="str">
        <f>"坡子街街道"</f>
        <v>坡子街街道</v>
      </c>
      <c r="D1003" s="3" t="str">
        <f>"登仁桥社区"</f>
        <v>登仁桥社区</v>
      </c>
      <c r="E1003" s="3" t="str">
        <f t="shared" si="348"/>
        <v>140</v>
      </c>
      <c r="F1003" s="3" t="str">
        <f t="shared" si="363"/>
        <v>0</v>
      </c>
      <c r="G1003" s="3" t="str">
        <f t="shared" si="368"/>
        <v>四级</v>
      </c>
    </row>
    <row r="1004" customHeight="1" spans="1:7">
      <c r="A1004" s="3" t="str">
        <f>"2203"</f>
        <v>2203</v>
      </c>
      <c r="B1004" s="3" t="s">
        <v>76</v>
      </c>
      <c r="C1004" s="3" t="str">
        <f t="shared" si="365"/>
        <v>裕南街街道</v>
      </c>
      <c r="D1004" s="3" t="str">
        <f t="shared" si="366"/>
        <v>火把山社区</v>
      </c>
      <c r="E1004" s="3" t="str">
        <f t="shared" si="348"/>
        <v>140</v>
      </c>
      <c r="F1004" s="3" t="str">
        <f t="shared" si="363"/>
        <v>0</v>
      </c>
      <c r="G1004" s="3" t="str">
        <f t="shared" si="367"/>
        <v>三级</v>
      </c>
    </row>
    <row r="1005" customHeight="1" spans="1:7">
      <c r="A1005" s="3" t="str">
        <f>"2204"</f>
        <v>2204</v>
      </c>
      <c r="B1005" s="3" t="s">
        <v>1534</v>
      </c>
      <c r="C1005" s="3" t="str">
        <f t="shared" si="365"/>
        <v>裕南街街道</v>
      </c>
      <c r="D1005" s="3" t="str">
        <f t="shared" si="366"/>
        <v>火把山社区</v>
      </c>
      <c r="E1005" s="3" t="str">
        <f t="shared" si="348"/>
        <v>140</v>
      </c>
      <c r="F1005" s="3" t="str">
        <f t="shared" si="363"/>
        <v>0</v>
      </c>
      <c r="G1005" s="3" t="str">
        <f t="shared" si="368"/>
        <v>四级</v>
      </c>
    </row>
    <row r="1006" customHeight="1" spans="1:7">
      <c r="A1006" s="3" t="str">
        <f>"2205"</f>
        <v>2205</v>
      </c>
      <c r="B1006" s="3" t="s">
        <v>1535</v>
      </c>
      <c r="C1006" s="3" t="str">
        <f>"城南路街道"</f>
        <v>城南路街道</v>
      </c>
      <c r="D1006" s="3" t="str">
        <f>"吴家坪社区"</f>
        <v>吴家坪社区</v>
      </c>
      <c r="E1006" s="3" t="str">
        <f t="shared" si="348"/>
        <v>140</v>
      </c>
      <c r="F1006" s="3" t="str">
        <f t="shared" si="363"/>
        <v>0</v>
      </c>
      <c r="G1006" s="3" t="str">
        <f t="shared" si="368"/>
        <v>四级</v>
      </c>
    </row>
    <row r="1007" customHeight="1" spans="1:7">
      <c r="A1007" s="3" t="str">
        <f>"2206"</f>
        <v>2206</v>
      </c>
      <c r="B1007" s="3" t="s">
        <v>1536</v>
      </c>
      <c r="C1007" s="3" t="str">
        <f>"赤岭路街道"</f>
        <v>赤岭路街道</v>
      </c>
      <c r="D1007" s="3" t="str">
        <f>"南大桥社区"</f>
        <v>南大桥社区</v>
      </c>
      <c r="E1007" s="3" t="str">
        <f t="shared" si="348"/>
        <v>140</v>
      </c>
      <c r="F1007" s="3" t="str">
        <f t="shared" ref="F1007:F1009" si="369">"100"</f>
        <v>100</v>
      </c>
      <c r="G1007" s="3" t="str">
        <f>"二级"</f>
        <v>二级</v>
      </c>
    </row>
    <row r="1008" customHeight="1" spans="1:7">
      <c r="A1008" s="3" t="str">
        <f>"2207"</f>
        <v>2207</v>
      </c>
      <c r="B1008" s="3" t="s">
        <v>1537</v>
      </c>
      <c r="C1008" s="3" t="str">
        <f>"赤岭路街道"</f>
        <v>赤岭路街道</v>
      </c>
      <c r="D1008" s="3" t="str">
        <f>"南大桥社区"</f>
        <v>南大桥社区</v>
      </c>
      <c r="E1008" s="3" t="str">
        <f t="shared" si="348"/>
        <v>140</v>
      </c>
      <c r="F1008" s="3" t="str">
        <f t="shared" si="369"/>
        <v>100</v>
      </c>
      <c r="G1008" s="3" t="str">
        <f>"一级"</f>
        <v>一级</v>
      </c>
    </row>
    <row r="1009" customHeight="1" spans="1:7">
      <c r="A1009" s="3" t="str">
        <f>"2208"</f>
        <v>2208</v>
      </c>
      <c r="B1009" s="3" t="s">
        <v>1538</v>
      </c>
      <c r="C1009" s="3" t="str">
        <f>"新开铺街道"</f>
        <v>新开铺街道</v>
      </c>
      <c r="D1009" s="3" t="str">
        <f>"新开铺社区"</f>
        <v>新开铺社区</v>
      </c>
      <c r="E1009" s="3" t="str">
        <f t="shared" si="348"/>
        <v>140</v>
      </c>
      <c r="F1009" s="3" t="str">
        <f t="shared" si="369"/>
        <v>100</v>
      </c>
      <c r="G1009" s="3" t="str">
        <f>"一级"</f>
        <v>一级</v>
      </c>
    </row>
    <row r="1010" customHeight="1" spans="1:7">
      <c r="A1010" s="3" t="str">
        <f>"2209"</f>
        <v>2209</v>
      </c>
      <c r="B1010" s="3" t="s">
        <v>1539</v>
      </c>
      <c r="C1010" s="3" t="str">
        <f t="shared" ref="C1010:C1013" si="370">"裕南街街道"</f>
        <v>裕南街街道</v>
      </c>
      <c r="D1010" s="3" t="str">
        <f t="shared" ref="D1010:D1012" si="371">"宝塔山社区"</f>
        <v>宝塔山社区</v>
      </c>
      <c r="E1010" s="3" t="str">
        <f t="shared" si="348"/>
        <v>140</v>
      </c>
      <c r="F1010" s="3" t="str">
        <f t="shared" ref="F1010:F1014" si="372">"0"</f>
        <v>0</v>
      </c>
      <c r="G1010" s="3" t="str">
        <f t="shared" ref="G1010:G1014" si="373">"三级"</f>
        <v>三级</v>
      </c>
    </row>
    <row r="1011" customHeight="1" spans="1:7">
      <c r="A1011" s="3" t="str">
        <f>"2210"</f>
        <v>2210</v>
      </c>
      <c r="B1011" s="3" t="s">
        <v>462</v>
      </c>
      <c r="C1011" s="3" t="str">
        <f t="shared" si="370"/>
        <v>裕南街街道</v>
      </c>
      <c r="D1011" s="3" t="str">
        <f t="shared" si="371"/>
        <v>宝塔山社区</v>
      </c>
      <c r="E1011" s="3" t="str">
        <f t="shared" si="348"/>
        <v>140</v>
      </c>
      <c r="F1011" s="3" t="str">
        <f t="shared" si="372"/>
        <v>0</v>
      </c>
      <c r="G1011" s="3" t="str">
        <f>"四级"</f>
        <v>四级</v>
      </c>
    </row>
    <row r="1012" customHeight="1" spans="1:7">
      <c r="A1012" s="3" t="str">
        <f>"2211"</f>
        <v>2211</v>
      </c>
      <c r="B1012" s="3" t="s">
        <v>1540</v>
      </c>
      <c r="C1012" s="3" t="str">
        <f t="shared" si="370"/>
        <v>裕南街街道</v>
      </c>
      <c r="D1012" s="3" t="str">
        <f t="shared" si="371"/>
        <v>宝塔山社区</v>
      </c>
      <c r="E1012" s="3" t="str">
        <f t="shared" si="348"/>
        <v>140</v>
      </c>
      <c r="F1012" s="3" t="str">
        <f t="shared" si="372"/>
        <v>0</v>
      </c>
      <c r="G1012" s="3" t="str">
        <f>"四级"</f>
        <v>四级</v>
      </c>
    </row>
    <row r="1013" customHeight="1" spans="1:7">
      <c r="A1013" s="3" t="str">
        <f>"2212"</f>
        <v>2212</v>
      </c>
      <c r="B1013" s="3" t="s">
        <v>1541</v>
      </c>
      <c r="C1013" s="3" t="str">
        <f t="shared" si="370"/>
        <v>裕南街街道</v>
      </c>
      <c r="D1013" s="3" t="str">
        <f>"长坡社区"</f>
        <v>长坡社区</v>
      </c>
      <c r="E1013" s="3" t="str">
        <f t="shared" si="348"/>
        <v>140</v>
      </c>
      <c r="F1013" s="3" t="str">
        <f t="shared" si="372"/>
        <v>0</v>
      </c>
      <c r="G1013" s="3" t="str">
        <f t="shared" si="373"/>
        <v>三级</v>
      </c>
    </row>
    <row r="1014" customHeight="1" spans="1:7">
      <c r="A1014" s="3" t="str">
        <f>"2213"</f>
        <v>2213</v>
      </c>
      <c r="B1014" s="3" t="s">
        <v>1542</v>
      </c>
      <c r="C1014" s="3" t="str">
        <f>"新开铺街道"</f>
        <v>新开铺街道</v>
      </c>
      <c r="D1014" s="3" t="str">
        <f>"新天社区"</f>
        <v>新天社区</v>
      </c>
      <c r="E1014" s="3" t="str">
        <f t="shared" si="348"/>
        <v>140</v>
      </c>
      <c r="F1014" s="3" t="str">
        <f t="shared" si="372"/>
        <v>0</v>
      </c>
      <c r="G1014" s="3" t="str">
        <f t="shared" si="373"/>
        <v>三级</v>
      </c>
    </row>
    <row r="1015" customHeight="1" spans="1:7">
      <c r="A1015" s="3" t="str">
        <f>"2214"</f>
        <v>2214</v>
      </c>
      <c r="B1015" s="3" t="s">
        <v>1543</v>
      </c>
      <c r="C1015" s="3" t="str">
        <f t="shared" ref="C1015:C1023" si="374">"坡子街街道"</f>
        <v>坡子街街道</v>
      </c>
      <c r="D1015" s="3" t="str">
        <f>"青山祠社区"</f>
        <v>青山祠社区</v>
      </c>
      <c r="E1015" s="3" t="str">
        <f t="shared" si="348"/>
        <v>140</v>
      </c>
      <c r="F1015" s="3" t="str">
        <f t="shared" ref="F1015:F1019" si="375">"100"</f>
        <v>100</v>
      </c>
      <c r="G1015" s="3" t="str">
        <f t="shared" ref="G1015:G1019" si="376">"二级"</f>
        <v>二级</v>
      </c>
    </row>
    <row r="1016" customHeight="1" spans="1:7">
      <c r="A1016" s="3" t="str">
        <f>"2215"</f>
        <v>2215</v>
      </c>
      <c r="B1016" s="3" t="s">
        <v>1544</v>
      </c>
      <c r="C1016" s="3" t="str">
        <f>"新开铺街道"</f>
        <v>新开铺街道</v>
      </c>
      <c r="D1016" s="3" t="str">
        <f>"新天社区"</f>
        <v>新天社区</v>
      </c>
      <c r="E1016" s="3" t="str">
        <f t="shared" si="348"/>
        <v>140</v>
      </c>
      <c r="F1016" s="3" t="str">
        <f t="shared" ref="F1016:F1023" si="377">"0"</f>
        <v>0</v>
      </c>
      <c r="G1016" s="3" t="str">
        <f t="shared" ref="G1016:G1022" si="378">"三级"</f>
        <v>三级</v>
      </c>
    </row>
    <row r="1017" customHeight="1" spans="1:7">
      <c r="A1017" s="3" t="str">
        <f>"2216"</f>
        <v>2216</v>
      </c>
      <c r="B1017" s="3" t="s">
        <v>1545</v>
      </c>
      <c r="C1017" s="3" t="str">
        <f t="shared" si="374"/>
        <v>坡子街街道</v>
      </c>
      <c r="D1017" s="3" t="str">
        <f t="shared" ref="D1017:D1023" si="379">"文庙坪社区"</f>
        <v>文庙坪社区</v>
      </c>
      <c r="E1017" s="3" t="str">
        <f t="shared" si="348"/>
        <v>140</v>
      </c>
      <c r="F1017" s="3" t="str">
        <f t="shared" si="377"/>
        <v>0</v>
      </c>
      <c r="G1017" s="3" t="str">
        <f t="shared" si="378"/>
        <v>三级</v>
      </c>
    </row>
    <row r="1018" customHeight="1" spans="1:7">
      <c r="A1018" s="3" t="str">
        <f>"2217"</f>
        <v>2217</v>
      </c>
      <c r="B1018" s="3" t="s">
        <v>1326</v>
      </c>
      <c r="C1018" s="3" t="str">
        <f t="shared" si="374"/>
        <v>坡子街街道</v>
      </c>
      <c r="D1018" s="3" t="str">
        <f t="shared" si="379"/>
        <v>文庙坪社区</v>
      </c>
      <c r="E1018" s="3" t="str">
        <f t="shared" si="348"/>
        <v>140</v>
      </c>
      <c r="F1018" s="3" t="str">
        <f t="shared" si="375"/>
        <v>100</v>
      </c>
      <c r="G1018" s="3" t="str">
        <f t="shared" si="376"/>
        <v>二级</v>
      </c>
    </row>
    <row r="1019" customHeight="1" spans="1:7">
      <c r="A1019" s="3" t="str">
        <f>"2218"</f>
        <v>2218</v>
      </c>
      <c r="B1019" s="3" t="s">
        <v>1546</v>
      </c>
      <c r="C1019" s="3" t="str">
        <f t="shared" si="374"/>
        <v>坡子街街道</v>
      </c>
      <c r="D1019" s="3" t="str">
        <f t="shared" si="379"/>
        <v>文庙坪社区</v>
      </c>
      <c r="E1019" s="3" t="str">
        <f t="shared" si="348"/>
        <v>140</v>
      </c>
      <c r="F1019" s="3" t="str">
        <f t="shared" si="375"/>
        <v>100</v>
      </c>
      <c r="G1019" s="3" t="str">
        <f t="shared" si="376"/>
        <v>二级</v>
      </c>
    </row>
    <row r="1020" customHeight="1" spans="1:7">
      <c r="A1020" s="3" t="str">
        <f>"2219"</f>
        <v>2219</v>
      </c>
      <c r="B1020" s="3" t="s">
        <v>1289</v>
      </c>
      <c r="C1020" s="3" t="str">
        <f t="shared" si="374"/>
        <v>坡子街街道</v>
      </c>
      <c r="D1020" s="3" t="str">
        <f t="shared" si="379"/>
        <v>文庙坪社区</v>
      </c>
      <c r="E1020" s="3" t="str">
        <f t="shared" si="348"/>
        <v>140</v>
      </c>
      <c r="F1020" s="3" t="str">
        <f t="shared" si="377"/>
        <v>0</v>
      </c>
      <c r="G1020" s="3" t="str">
        <f t="shared" si="378"/>
        <v>三级</v>
      </c>
    </row>
    <row r="1021" customHeight="1" spans="1:7">
      <c r="A1021" s="3" t="str">
        <f>"2220"</f>
        <v>2220</v>
      </c>
      <c r="B1021" s="3" t="s">
        <v>1547</v>
      </c>
      <c r="C1021" s="3" t="str">
        <f t="shared" si="374"/>
        <v>坡子街街道</v>
      </c>
      <c r="D1021" s="3" t="str">
        <f t="shared" si="379"/>
        <v>文庙坪社区</v>
      </c>
      <c r="E1021" s="3" t="str">
        <f t="shared" si="348"/>
        <v>140</v>
      </c>
      <c r="F1021" s="3" t="str">
        <f t="shared" si="377"/>
        <v>0</v>
      </c>
      <c r="G1021" s="3" t="str">
        <f t="shared" si="378"/>
        <v>三级</v>
      </c>
    </row>
    <row r="1022" customHeight="1" spans="1:7">
      <c r="A1022" s="3" t="str">
        <f>"2221"</f>
        <v>2221</v>
      </c>
      <c r="B1022" s="3" t="s">
        <v>1054</v>
      </c>
      <c r="C1022" s="3" t="str">
        <f t="shared" si="374"/>
        <v>坡子街街道</v>
      </c>
      <c r="D1022" s="3" t="str">
        <f t="shared" si="379"/>
        <v>文庙坪社区</v>
      </c>
      <c r="E1022" s="3" t="str">
        <f t="shared" si="348"/>
        <v>140</v>
      </c>
      <c r="F1022" s="3" t="str">
        <f t="shared" si="377"/>
        <v>0</v>
      </c>
      <c r="G1022" s="3" t="str">
        <f t="shared" si="378"/>
        <v>三级</v>
      </c>
    </row>
    <row r="1023" customHeight="1" spans="1:7">
      <c r="A1023" s="3" t="str">
        <f>"2222"</f>
        <v>2222</v>
      </c>
      <c r="B1023" s="3" t="s">
        <v>1548</v>
      </c>
      <c r="C1023" s="3" t="str">
        <f t="shared" si="374"/>
        <v>坡子街街道</v>
      </c>
      <c r="D1023" s="3" t="str">
        <f t="shared" si="379"/>
        <v>文庙坪社区</v>
      </c>
      <c r="E1023" s="3" t="str">
        <f t="shared" si="348"/>
        <v>140</v>
      </c>
      <c r="F1023" s="3" t="str">
        <f t="shared" si="377"/>
        <v>0</v>
      </c>
      <c r="G1023" s="3" t="str">
        <f t="shared" ref="G1023:G1029" si="380">"四级"</f>
        <v>四级</v>
      </c>
    </row>
    <row r="1024" customHeight="1" spans="1:7">
      <c r="A1024" s="3" t="str">
        <f>"2223"</f>
        <v>2223</v>
      </c>
      <c r="B1024" s="3" t="s">
        <v>1549</v>
      </c>
      <c r="C1024" s="3" t="str">
        <f>"新开铺街道"</f>
        <v>新开铺街道</v>
      </c>
      <c r="D1024" s="3" t="str">
        <f>"桥头社区"</f>
        <v>桥头社区</v>
      </c>
      <c r="E1024" s="3" t="str">
        <f t="shared" si="348"/>
        <v>140</v>
      </c>
      <c r="F1024" s="3" t="str">
        <f>"100"</f>
        <v>100</v>
      </c>
      <c r="G1024" s="3" t="str">
        <f>"一级"</f>
        <v>一级</v>
      </c>
    </row>
    <row r="1025" customHeight="1" spans="1:7">
      <c r="A1025" s="3" t="str">
        <f>"2224"</f>
        <v>2224</v>
      </c>
      <c r="B1025" s="3" t="s">
        <v>1550</v>
      </c>
      <c r="C1025" s="3" t="str">
        <f t="shared" ref="C1025:C1030" si="381">"坡子街街道"</f>
        <v>坡子街街道</v>
      </c>
      <c r="D1025" s="3" t="str">
        <f>"文庙坪社区"</f>
        <v>文庙坪社区</v>
      </c>
      <c r="E1025" s="3" t="str">
        <f t="shared" si="348"/>
        <v>140</v>
      </c>
      <c r="F1025" s="3" t="str">
        <f t="shared" ref="F1025:F1034" si="382">"0"</f>
        <v>0</v>
      </c>
      <c r="G1025" s="3" t="str">
        <f t="shared" si="380"/>
        <v>四级</v>
      </c>
    </row>
    <row r="1026" customHeight="1" spans="1:7">
      <c r="A1026" s="3" t="str">
        <f>"2225"</f>
        <v>2225</v>
      </c>
      <c r="B1026" s="3" t="s">
        <v>845</v>
      </c>
      <c r="C1026" s="3" t="str">
        <f t="shared" si="381"/>
        <v>坡子街街道</v>
      </c>
      <c r="D1026" s="3" t="str">
        <f t="shared" ref="D1026:D1030" si="383">"太平街社区"</f>
        <v>太平街社区</v>
      </c>
      <c r="E1026" s="3" t="str">
        <f t="shared" ref="E1026:E1089" si="384">"140"</f>
        <v>140</v>
      </c>
      <c r="F1026" s="3" t="str">
        <f t="shared" si="382"/>
        <v>0</v>
      </c>
      <c r="G1026" s="3" t="str">
        <f t="shared" si="380"/>
        <v>四级</v>
      </c>
    </row>
    <row r="1027" customHeight="1" spans="1:7">
      <c r="A1027" s="3" t="str">
        <f>"2226"</f>
        <v>2226</v>
      </c>
      <c r="B1027" s="3" t="s">
        <v>267</v>
      </c>
      <c r="C1027" s="3" t="str">
        <f t="shared" si="381"/>
        <v>坡子街街道</v>
      </c>
      <c r="D1027" s="3" t="str">
        <f>"坡子街社区"</f>
        <v>坡子街社区</v>
      </c>
      <c r="E1027" s="3" t="str">
        <f t="shared" si="384"/>
        <v>140</v>
      </c>
      <c r="F1027" s="3" t="str">
        <f t="shared" si="382"/>
        <v>0</v>
      </c>
      <c r="G1027" s="3" t="str">
        <f t="shared" si="380"/>
        <v>四级</v>
      </c>
    </row>
    <row r="1028" customHeight="1" spans="1:7">
      <c r="A1028" s="3" t="str">
        <f>"2227"</f>
        <v>2227</v>
      </c>
      <c r="B1028" s="3" t="s">
        <v>541</v>
      </c>
      <c r="C1028" s="3" t="str">
        <f t="shared" si="381"/>
        <v>坡子街街道</v>
      </c>
      <c r="D1028" s="3" t="str">
        <f t="shared" si="383"/>
        <v>太平街社区</v>
      </c>
      <c r="E1028" s="3" t="str">
        <f t="shared" si="384"/>
        <v>140</v>
      </c>
      <c r="F1028" s="3" t="str">
        <f t="shared" si="382"/>
        <v>0</v>
      </c>
      <c r="G1028" s="3" t="str">
        <f t="shared" si="380"/>
        <v>四级</v>
      </c>
    </row>
    <row r="1029" customHeight="1" spans="1:7">
      <c r="A1029" s="3" t="str">
        <f>"2228"</f>
        <v>2228</v>
      </c>
      <c r="B1029" s="3" t="s">
        <v>862</v>
      </c>
      <c r="C1029" s="3" t="str">
        <f t="shared" si="381"/>
        <v>坡子街街道</v>
      </c>
      <c r="D1029" s="3" t="str">
        <f t="shared" si="383"/>
        <v>太平街社区</v>
      </c>
      <c r="E1029" s="3" t="str">
        <f t="shared" si="384"/>
        <v>140</v>
      </c>
      <c r="F1029" s="3" t="str">
        <f t="shared" si="382"/>
        <v>0</v>
      </c>
      <c r="G1029" s="3" t="str">
        <f t="shared" si="380"/>
        <v>四级</v>
      </c>
    </row>
    <row r="1030" customHeight="1" spans="1:7">
      <c r="A1030" s="3" t="str">
        <f>"2229"</f>
        <v>2229</v>
      </c>
      <c r="B1030" s="3" t="s">
        <v>1551</v>
      </c>
      <c r="C1030" s="3" t="str">
        <f t="shared" si="381"/>
        <v>坡子街街道</v>
      </c>
      <c r="D1030" s="3" t="str">
        <f t="shared" si="383"/>
        <v>太平街社区</v>
      </c>
      <c r="E1030" s="3" t="str">
        <f t="shared" si="384"/>
        <v>140</v>
      </c>
      <c r="F1030" s="3" t="str">
        <f t="shared" si="382"/>
        <v>0</v>
      </c>
      <c r="G1030" s="3" t="str">
        <f t="shared" ref="G1030:G1034" si="385">"三级"</f>
        <v>三级</v>
      </c>
    </row>
    <row r="1031" customHeight="1" spans="1:7">
      <c r="A1031" s="3" t="str">
        <f>"2230"</f>
        <v>2230</v>
      </c>
      <c r="B1031" s="3" t="s">
        <v>1552</v>
      </c>
      <c r="C1031" s="3" t="str">
        <f>"金盆岭街道"</f>
        <v>金盆岭街道</v>
      </c>
      <c r="D1031" s="3" t="str">
        <f>"赤岭路社区"</f>
        <v>赤岭路社区</v>
      </c>
      <c r="E1031" s="3" t="str">
        <f t="shared" si="384"/>
        <v>140</v>
      </c>
      <c r="F1031" s="3" t="str">
        <f t="shared" si="382"/>
        <v>0</v>
      </c>
      <c r="G1031" s="3" t="str">
        <f t="shared" si="385"/>
        <v>三级</v>
      </c>
    </row>
    <row r="1032" customHeight="1" spans="1:7">
      <c r="A1032" s="3" t="str">
        <f>"2231"</f>
        <v>2231</v>
      </c>
      <c r="B1032" s="3" t="s">
        <v>1553</v>
      </c>
      <c r="C1032" s="3" t="str">
        <f t="shared" ref="C1032:C1034" si="386">"坡子街街道"</f>
        <v>坡子街街道</v>
      </c>
      <c r="D1032" s="3" t="str">
        <f t="shared" ref="D1032:D1037" si="387">"坡子街社区"</f>
        <v>坡子街社区</v>
      </c>
      <c r="E1032" s="3" t="str">
        <f t="shared" si="384"/>
        <v>140</v>
      </c>
      <c r="F1032" s="3" t="str">
        <f t="shared" si="382"/>
        <v>0</v>
      </c>
      <c r="G1032" s="3" t="str">
        <f t="shared" si="385"/>
        <v>三级</v>
      </c>
    </row>
    <row r="1033" customHeight="1" spans="1:7">
      <c r="A1033" s="3" t="str">
        <f>"2232"</f>
        <v>2232</v>
      </c>
      <c r="B1033" s="3" t="s">
        <v>1554</v>
      </c>
      <c r="C1033" s="3" t="str">
        <f t="shared" si="386"/>
        <v>坡子街街道</v>
      </c>
      <c r="D1033" s="3" t="str">
        <f>"文庙坪社区"</f>
        <v>文庙坪社区</v>
      </c>
      <c r="E1033" s="3" t="str">
        <f t="shared" si="384"/>
        <v>140</v>
      </c>
      <c r="F1033" s="3" t="str">
        <f t="shared" si="382"/>
        <v>0</v>
      </c>
      <c r="G1033" s="3" t="str">
        <f t="shared" si="385"/>
        <v>三级</v>
      </c>
    </row>
    <row r="1034" customHeight="1" spans="1:7">
      <c r="A1034" s="3" t="str">
        <f>"2233"</f>
        <v>2233</v>
      </c>
      <c r="B1034" s="3" t="s">
        <v>1131</v>
      </c>
      <c r="C1034" s="3" t="str">
        <f t="shared" si="386"/>
        <v>坡子街街道</v>
      </c>
      <c r="D1034" s="3" t="str">
        <f>"文庙坪社区"</f>
        <v>文庙坪社区</v>
      </c>
      <c r="E1034" s="3" t="str">
        <f t="shared" si="384"/>
        <v>140</v>
      </c>
      <c r="F1034" s="3" t="str">
        <f t="shared" si="382"/>
        <v>0</v>
      </c>
      <c r="G1034" s="3" t="str">
        <f t="shared" si="385"/>
        <v>三级</v>
      </c>
    </row>
    <row r="1035" customHeight="1" spans="1:7">
      <c r="A1035" s="3" t="str">
        <f>"2234"</f>
        <v>2234</v>
      </c>
      <c r="B1035" s="3" t="s">
        <v>1555</v>
      </c>
      <c r="C1035" s="3" t="str">
        <f>"金盆岭街道"</f>
        <v>金盆岭街道</v>
      </c>
      <c r="D1035" s="3" t="str">
        <f>"夏家冲社区"</f>
        <v>夏家冲社区</v>
      </c>
      <c r="E1035" s="3" t="str">
        <f t="shared" si="384"/>
        <v>140</v>
      </c>
      <c r="F1035" s="3" t="str">
        <f>"100"</f>
        <v>100</v>
      </c>
      <c r="G1035" s="3" t="str">
        <f>"二级"</f>
        <v>二级</v>
      </c>
    </row>
    <row r="1036" customHeight="1" spans="1:7">
      <c r="A1036" s="3" t="str">
        <f>"2235"</f>
        <v>2235</v>
      </c>
      <c r="B1036" s="3" t="s">
        <v>267</v>
      </c>
      <c r="C1036" s="3" t="str">
        <f t="shared" ref="C1036:C1053" si="388">"坡子街街道"</f>
        <v>坡子街街道</v>
      </c>
      <c r="D1036" s="3" t="str">
        <f t="shared" si="387"/>
        <v>坡子街社区</v>
      </c>
      <c r="E1036" s="3" t="str">
        <f t="shared" si="384"/>
        <v>140</v>
      </c>
      <c r="F1036" s="3" t="str">
        <f t="shared" ref="F1036:F1047" si="389">"0"</f>
        <v>0</v>
      </c>
      <c r="G1036" s="3" t="str">
        <f t="shared" ref="G1036:G1041" si="390">"三级"</f>
        <v>三级</v>
      </c>
    </row>
    <row r="1037" customHeight="1" spans="1:7">
      <c r="A1037" s="3" t="str">
        <f>"2236"</f>
        <v>2236</v>
      </c>
      <c r="B1037" s="3" t="s">
        <v>112</v>
      </c>
      <c r="C1037" s="3" t="str">
        <f t="shared" si="388"/>
        <v>坡子街街道</v>
      </c>
      <c r="D1037" s="3" t="str">
        <f t="shared" si="387"/>
        <v>坡子街社区</v>
      </c>
      <c r="E1037" s="3" t="str">
        <f t="shared" si="384"/>
        <v>140</v>
      </c>
      <c r="F1037" s="3" t="str">
        <f t="shared" si="389"/>
        <v>0</v>
      </c>
      <c r="G1037" s="3" t="str">
        <f>"四级"</f>
        <v>四级</v>
      </c>
    </row>
    <row r="1038" customHeight="1" spans="1:7">
      <c r="A1038" s="3" t="str">
        <f>"2237"</f>
        <v>2237</v>
      </c>
      <c r="B1038" s="3" t="s">
        <v>1556</v>
      </c>
      <c r="C1038" s="3" t="str">
        <f t="shared" si="388"/>
        <v>坡子街街道</v>
      </c>
      <c r="D1038" s="3" t="str">
        <f t="shared" ref="D1038:D1045" si="391">"西湖社区"</f>
        <v>西湖社区</v>
      </c>
      <c r="E1038" s="3" t="str">
        <f t="shared" si="384"/>
        <v>140</v>
      </c>
      <c r="F1038" s="3" t="str">
        <f>"100"</f>
        <v>100</v>
      </c>
      <c r="G1038" s="3" t="str">
        <f>"二级"</f>
        <v>二级</v>
      </c>
    </row>
    <row r="1039" customHeight="1" spans="1:7">
      <c r="A1039" s="3" t="str">
        <f>"2238"</f>
        <v>2238</v>
      </c>
      <c r="B1039" s="3" t="s">
        <v>1557</v>
      </c>
      <c r="C1039" s="3" t="str">
        <f t="shared" si="388"/>
        <v>坡子街街道</v>
      </c>
      <c r="D1039" s="3" t="str">
        <f t="shared" si="391"/>
        <v>西湖社区</v>
      </c>
      <c r="E1039" s="3" t="str">
        <f t="shared" si="384"/>
        <v>140</v>
      </c>
      <c r="F1039" s="3" t="str">
        <f t="shared" si="389"/>
        <v>0</v>
      </c>
      <c r="G1039" s="3" t="str">
        <f t="shared" si="390"/>
        <v>三级</v>
      </c>
    </row>
    <row r="1040" customHeight="1" spans="1:7">
      <c r="A1040" s="3" t="str">
        <f>"2239"</f>
        <v>2239</v>
      </c>
      <c r="B1040" s="3" t="s">
        <v>1558</v>
      </c>
      <c r="C1040" s="3" t="str">
        <f t="shared" si="388"/>
        <v>坡子街街道</v>
      </c>
      <c r="D1040" s="3" t="str">
        <f t="shared" si="391"/>
        <v>西湖社区</v>
      </c>
      <c r="E1040" s="3" t="str">
        <f t="shared" si="384"/>
        <v>140</v>
      </c>
      <c r="F1040" s="3" t="str">
        <f t="shared" si="389"/>
        <v>0</v>
      </c>
      <c r="G1040" s="3" t="str">
        <f t="shared" si="390"/>
        <v>三级</v>
      </c>
    </row>
    <row r="1041" customHeight="1" spans="1:7">
      <c r="A1041" s="3" t="str">
        <f>"2240"</f>
        <v>2240</v>
      </c>
      <c r="B1041" s="3" t="s">
        <v>1559</v>
      </c>
      <c r="C1041" s="3" t="str">
        <f t="shared" si="388"/>
        <v>坡子街街道</v>
      </c>
      <c r="D1041" s="3" t="str">
        <f t="shared" si="391"/>
        <v>西湖社区</v>
      </c>
      <c r="E1041" s="3" t="str">
        <f t="shared" si="384"/>
        <v>140</v>
      </c>
      <c r="F1041" s="3" t="str">
        <f t="shared" si="389"/>
        <v>0</v>
      </c>
      <c r="G1041" s="3" t="str">
        <f t="shared" si="390"/>
        <v>三级</v>
      </c>
    </row>
    <row r="1042" customHeight="1" spans="1:7">
      <c r="A1042" s="3" t="str">
        <f>"2241"</f>
        <v>2241</v>
      </c>
      <c r="B1042" s="3" t="s">
        <v>1560</v>
      </c>
      <c r="C1042" s="3" t="str">
        <f t="shared" si="388"/>
        <v>坡子街街道</v>
      </c>
      <c r="D1042" s="3" t="str">
        <f t="shared" si="391"/>
        <v>西湖社区</v>
      </c>
      <c r="E1042" s="3" t="str">
        <f t="shared" si="384"/>
        <v>140</v>
      </c>
      <c r="F1042" s="3" t="str">
        <f t="shared" si="389"/>
        <v>0</v>
      </c>
      <c r="G1042" s="3" t="str">
        <f t="shared" ref="G1042:G1045" si="392">"四级"</f>
        <v>四级</v>
      </c>
    </row>
    <row r="1043" customHeight="1" spans="1:7">
      <c r="A1043" s="3" t="str">
        <f>"2242"</f>
        <v>2242</v>
      </c>
      <c r="B1043" s="3" t="s">
        <v>1561</v>
      </c>
      <c r="C1043" s="3" t="str">
        <f t="shared" si="388"/>
        <v>坡子街街道</v>
      </c>
      <c r="D1043" s="3" t="str">
        <f t="shared" si="391"/>
        <v>西湖社区</v>
      </c>
      <c r="E1043" s="3" t="str">
        <f t="shared" si="384"/>
        <v>140</v>
      </c>
      <c r="F1043" s="3" t="str">
        <f t="shared" si="389"/>
        <v>0</v>
      </c>
      <c r="G1043" s="3" t="str">
        <f t="shared" si="392"/>
        <v>四级</v>
      </c>
    </row>
    <row r="1044" customHeight="1" spans="1:7">
      <c r="A1044" s="3" t="str">
        <f>"2243"</f>
        <v>2243</v>
      </c>
      <c r="B1044" s="3" t="s">
        <v>1562</v>
      </c>
      <c r="C1044" s="3" t="str">
        <f t="shared" si="388"/>
        <v>坡子街街道</v>
      </c>
      <c r="D1044" s="3" t="str">
        <f t="shared" si="391"/>
        <v>西湖社区</v>
      </c>
      <c r="E1044" s="3" t="str">
        <f t="shared" si="384"/>
        <v>140</v>
      </c>
      <c r="F1044" s="3" t="str">
        <f t="shared" si="389"/>
        <v>0</v>
      </c>
      <c r="G1044" s="3" t="str">
        <f t="shared" si="392"/>
        <v>四级</v>
      </c>
    </row>
    <row r="1045" customHeight="1" spans="1:7">
      <c r="A1045" s="3" t="str">
        <f>"2244"</f>
        <v>2244</v>
      </c>
      <c r="B1045" s="3" t="s">
        <v>1563</v>
      </c>
      <c r="C1045" s="3" t="str">
        <f t="shared" si="388"/>
        <v>坡子街街道</v>
      </c>
      <c r="D1045" s="3" t="str">
        <f t="shared" si="391"/>
        <v>西湖社区</v>
      </c>
      <c r="E1045" s="3" t="str">
        <f t="shared" si="384"/>
        <v>140</v>
      </c>
      <c r="F1045" s="3" t="str">
        <f t="shared" si="389"/>
        <v>0</v>
      </c>
      <c r="G1045" s="3" t="str">
        <f t="shared" si="392"/>
        <v>四级</v>
      </c>
    </row>
    <row r="1046" customHeight="1" spans="1:7">
      <c r="A1046" s="3" t="str">
        <f>"2245"</f>
        <v>2245</v>
      </c>
      <c r="B1046" s="3" t="s">
        <v>563</v>
      </c>
      <c r="C1046" s="3" t="str">
        <f t="shared" si="388"/>
        <v>坡子街街道</v>
      </c>
      <c r="D1046" s="3" t="str">
        <f>"青山祠社区"</f>
        <v>青山祠社区</v>
      </c>
      <c r="E1046" s="3" t="str">
        <f t="shared" si="384"/>
        <v>140</v>
      </c>
      <c r="F1046" s="3" t="str">
        <f t="shared" si="389"/>
        <v>0</v>
      </c>
      <c r="G1046" s="3" t="str">
        <f>"三级"</f>
        <v>三级</v>
      </c>
    </row>
    <row r="1047" customHeight="1" spans="1:7">
      <c r="A1047" s="3" t="str">
        <f>"2246"</f>
        <v>2246</v>
      </c>
      <c r="B1047" s="3" t="s">
        <v>536</v>
      </c>
      <c r="C1047" s="3" t="str">
        <f t="shared" si="388"/>
        <v>坡子街街道</v>
      </c>
      <c r="D1047" s="3" t="str">
        <f t="shared" ref="D1047:D1053" si="393">"碧湘社区"</f>
        <v>碧湘社区</v>
      </c>
      <c r="E1047" s="3" t="str">
        <f t="shared" si="384"/>
        <v>140</v>
      </c>
      <c r="F1047" s="3" t="str">
        <f t="shared" si="389"/>
        <v>0</v>
      </c>
      <c r="G1047" s="3" t="str">
        <f>"三级"</f>
        <v>三级</v>
      </c>
    </row>
    <row r="1048" customHeight="1" spans="1:7">
      <c r="A1048" s="3" t="str">
        <f>"2247"</f>
        <v>2247</v>
      </c>
      <c r="B1048" s="3" t="s">
        <v>1492</v>
      </c>
      <c r="C1048" s="3" t="str">
        <f t="shared" si="388"/>
        <v>坡子街街道</v>
      </c>
      <c r="D1048" s="3" t="str">
        <f>"西湖社区"</f>
        <v>西湖社区</v>
      </c>
      <c r="E1048" s="3" t="str">
        <f t="shared" si="384"/>
        <v>140</v>
      </c>
      <c r="F1048" s="3" t="str">
        <f>"100"</f>
        <v>100</v>
      </c>
      <c r="G1048" s="3" t="str">
        <f>"二级"</f>
        <v>二级</v>
      </c>
    </row>
    <row r="1049" customHeight="1" spans="1:7">
      <c r="A1049" s="3" t="str">
        <f>"2248"</f>
        <v>2248</v>
      </c>
      <c r="B1049" s="3" t="s">
        <v>1564</v>
      </c>
      <c r="C1049" s="3" t="str">
        <f t="shared" si="388"/>
        <v>坡子街街道</v>
      </c>
      <c r="D1049" s="3" t="str">
        <f t="shared" si="393"/>
        <v>碧湘社区</v>
      </c>
      <c r="E1049" s="3" t="str">
        <f t="shared" si="384"/>
        <v>140</v>
      </c>
      <c r="F1049" s="3" t="str">
        <f t="shared" ref="F1049:F1053" si="394">"0"</f>
        <v>0</v>
      </c>
      <c r="G1049" s="3" t="str">
        <f t="shared" ref="G1049:G1053" si="395">"四级"</f>
        <v>四级</v>
      </c>
    </row>
    <row r="1050" customHeight="1" spans="1:7">
      <c r="A1050" s="3" t="str">
        <f>"2249"</f>
        <v>2249</v>
      </c>
      <c r="B1050" s="3" t="s">
        <v>267</v>
      </c>
      <c r="C1050" s="3" t="str">
        <f t="shared" si="388"/>
        <v>坡子街街道</v>
      </c>
      <c r="D1050" s="3" t="str">
        <f t="shared" si="393"/>
        <v>碧湘社区</v>
      </c>
      <c r="E1050" s="3" t="str">
        <f t="shared" si="384"/>
        <v>140</v>
      </c>
      <c r="F1050" s="3" t="str">
        <f t="shared" si="394"/>
        <v>0</v>
      </c>
      <c r="G1050" s="3" t="str">
        <f t="shared" si="395"/>
        <v>四级</v>
      </c>
    </row>
    <row r="1051" customHeight="1" spans="1:7">
      <c r="A1051" s="3" t="str">
        <f>"2250"</f>
        <v>2250</v>
      </c>
      <c r="B1051" s="3" t="s">
        <v>648</v>
      </c>
      <c r="C1051" s="3" t="str">
        <f t="shared" si="388"/>
        <v>坡子街街道</v>
      </c>
      <c r="D1051" s="3" t="str">
        <f t="shared" si="393"/>
        <v>碧湘社区</v>
      </c>
      <c r="E1051" s="3" t="str">
        <f t="shared" si="384"/>
        <v>140</v>
      </c>
      <c r="F1051" s="3" t="str">
        <f t="shared" si="394"/>
        <v>0</v>
      </c>
      <c r="G1051" s="3" t="str">
        <f t="shared" si="395"/>
        <v>四级</v>
      </c>
    </row>
    <row r="1052" customHeight="1" spans="1:7">
      <c r="A1052" s="3" t="str">
        <f>"2251"</f>
        <v>2251</v>
      </c>
      <c r="B1052" s="3" t="s">
        <v>1565</v>
      </c>
      <c r="C1052" s="3" t="str">
        <f t="shared" si="388"/>
        <v>坡子街街道</v>
      </c>
      <c r="D1052" s="3" t="str">
        <f t="shared" si="393"/>
        <v>碧湘社区</v>
      </c>
      <c r="E1052" s="3" t="str">
        <f t="shared" si="384"/>
        <v>140</v>
      </c>
      <c r="F1052" s="3" t="str">
        <f t="shared" si="394"/>
        <v>0</v>
      </c>
      <c r="G1052" s="3" t="str">
        <f t="shared" si="395"/>
        <v>四级</v>
      </c>
    </row>
    <row r="1053" customHeight="1" spans="1:7">
      <c r="A1053" s="3" t="str">
        <f>"2252"</f>
        <v>2252</v>
      </c>
      <c r="B1053" s="3" t="s">
        <v>1566</v>
      </c>
      <c r="C1053" s="3" t="str">
        <f t="shared" si="388"/>
        <v>坡子街街道</v>
      </c>
      <c r="D1053" s="3" t="str">
        <f t="shared" si="393"/>
        <v>碧湘社区</v>
      </c>
      <c r="E1053" s="3" t="str">
        <f t="shared" si="384"/>
        <v>140</v>
      </c>
      <c r="F1053" s="3" t="str">
        <f t="shared" si="394"/>
        <v>0</v>
      </c>
      <c r="G1053" s="3" t="str">
        <f t="shared" si="395"/>
        <v>四级</v>
      </c>
    </row>
    <row r="1054" customHeight="1" spans="1:7">
      <c r="A1054" s="3" t="str">
        <f>"2253"</f>
        <v>2253</v>
      </c>
      <c r="B1054" s="3" t="s">
        <v>897</v>
      </c>
      <c r="C1054" s="3" t="str">
        <f>"金盆岭街道"</f>
        <v>金盆岭街道</v>
      </c>
      <c r="D1054" s="3" t="str">
        <f>"天剑社区"</f>
        <v>天剑社区</v>
      </c>
      <c r="E1054" s="3" t="str">
        <f t="shared" si="384"/>
        <v>140</v>
      </c>
      <c r="F1054" s="3" t="str">
        <f>"100"</f>
        <v>100</v>
      </c>
      <c r="G1054" s="3" t="str">
        <f>"二级"</f>
        <v>二级</v>
      </c>
    </row>
    <row r="1055" customHeight="1" spans="1:7">
      <c r="A1055" s="3" t="str">
        <f>"2254"</f>
        <v>2254</v>
      </c>
      <c r="B1055" s="3" t="s">
        <v>1567</v>
      </c>
      <c r="C1055" s="3" t="str">
        <f t="shared" ref="C1055:C1057" si="396">"坡子街街道"</f>
        <v>坡子街街道</v>
      </c>
      <c r="D1055" s="3" t="str">
        <f>"文庙坪社区"</f>
        <v>文庙坪社区</v>
      </c>
      <c r="E1055" s="3" t="str">
        <f t="shared" si="384"/>
        <v>140</v>
      </c>
      <c r="F1055" s="3" t="str">
        <f t="shared" ref="F1055:F1057" si="397">"0"</f>
        <v>0</v>
      </c>
      <c r="G1055" s="3" t="str">
        <f t="shared" ref="G1055:G1059" si="398">"四级"</f>
        <v>四级</v>
      </c>
    </row>
    <row r="1056" customHeight="1" spans="1:7">
      <c r="A1056" s="3" t="str">
        <f>"2255"</f>
        <v>2255</v>
      </c>
      <c r="B1056" s="3" t="s">
        <v>146</v>
      </c>
      <c r="C1056" s="3" t="str">
        <f t="shared" si="396"/>
        <v>坡子街街道</v>
      </c>
      <c r="D1056" s="3" t="str">
        <f>"碧湘社区"</f>
        <v>碧湘社区</v>
      </c>
      <c r="E1056" s="3" t="str">
        <f t="shared" si="384"/>
        <v>140</v>
      </c>
      <c r="F1056" s="3" t="str">
        <f t="shared" si="397"/>
        <v>0</v>
      </c>
      <c r="G1056" s="3" t="str">
        <f t="shared" si="398"/>
        <v>四级</v>
      </c>
    </row>
    <row r="1057" customHeight="1" spans="1:7">
      <c r="A1057" s="3" t="str">
        <f>"2256"</f>
        <v>2256</v>
      </c>
      <c r="B1057" s="3" t="s">
        <v>1568</v>
      </c>
      <c r="C1057" s="3" t="str">
        <f t="shared" si="396"/>
        <v>坡子街街道</v>
      </c>
      <c r="D1057" s="3" t="str">
        <f>"八角亭社区"</f>
        <v>八角亭社区</v>
      </c>
      <c r="E1057" s="3" t="str">
        <f t="shared" si="384"/>
        <v>140</v>
      </c>
      <c r="F1057" s="3" t="str">
        <f t="shared" si="397"/>
        <v>0</v>
      </c>
      <c r="G1057" s="3" t="str">
        <f>"三级"</f>
        <v>三级</v>
      </c>
    </row>
    <row r="1058" customHeight="1" spans="1:7">
      <c r="A1058" s="3" t="str">
        <f>"2257"</f>
        <v>2257</v>
      </c>
      <c r="B1058" s="3" t="s">
        <v>1569</v>
      </c>
      <c r="C1058" s="3" t="str">
        <f>"新开铺街道"</f>
        <v>新开铺街道</v>
      </c>
      <c r="D1058" s="3" t="str">
        <f>"桥头社区"</f>
        <v>桥头社区</v>
      </c>
      <c r="E1058" s="3" t="str">
        <f t="shared" si="384"/>
        <v>140</v>
      </c>
      <c r="F1058" s="3" t="str">
        <f t="shared" ref="F1058:F1067" si="399">"100"</f>
        <v>100</v>
      </c>
      <c r="G1058" s="3" t="str">
        <f t="shared" ref="G1058:G1062" si="400">"二级"</f>
        <v>二级</v>
      </c>
    </row>
    <row r="1059" customHeight="1" spans="1:7">
      <c r="A1059" s="3" t="str">
        <f>"2258"</f>
        <v>2258</v>
      </c>
      <c r="B1059" s="3" t="s">
        <v>1570</v>
      </c>
      <c r="C1059" s="3" t="str">
        <f t="shared" ref="C1059:C1061" si="401">"坡子街街道"</f>
        <v>坡子街街道</v>
      </c>
      <c r="D1059" s="3" t="str">
        <f>"西湖社区"</f>
        <v>西湖社区</v>
      </c>
      <c r="E1059" s="3" t="str">
        <f t="shared" si="384"/>
        <v>140</v>
      </c>
      <c r="F1059" s="3" t="str">
        <f>"0"</f>
        <v>0</v>
      </c>
      <c r="G1059" s="3" t="str">
        <f t="shared" si="398"/>
        <v>四级</v>
      </c>
    </row>
    <row r="1060" customHeight="1" spans="1:7">
      <c r="A1060" s="3" t="str">
        <f>"2259"</f>
        <v>2259</v>
      </c>
      <c r="B1060" s="3" t="s">
        <v>1571</v>
      </c>
      <c r="C1060" s="3" t="str">
        <f t="shared" si="401"/>
        <v>坡子街街道</v>
      </c>
      <c r="D1060" s="3" t="str">
        <f>"登仁桥社区"</f>
        <v>登仁桥社区</v>
      </c>
      <c r="E1060" s="3" t="str">
        <f t="shared" si="384"/>
        <v>140</v>
      </c>
      <c r="F1060" s="3" t="str">
        <f t="shared" si="399"/>
        <v>100</v>
      </c>
      <c r="G1060" s="3" t="str">
        <f t="shared" ref="G1060:G1065" si="402">"一级"</f>
        <v>一级</v>
      </c>
    </row>
    <row r="1061" customHeight="1" spans="1:7">
      <c r="A1061" s="3" t="str">
        <f>"2260"</f>
        <v>2260</v>
      </c>
      <c r="B1061" s="3" t="s">
        <v>765</v>
      </c>
      <c r="C1061" s="3" t="str">
        <f t="shared" si="401"/>
        <v>坡子街街道</v>
      </c>
      <c r="D1061" s="3" t="str">
        <f>"西湖社区"</f>
        <v>西湖社区</v>
      </c>
      <c r="E1061" s="3" t="str">
        <f t="shared" si="384"/>
        <v>140</v>
      </c>
      <c r="F1061" s="3" t="str">
        <f t="shared" si="399"/>
        <v>100</v>
      </c>
      <c r="G1061" s="3" t="str">
        <f t="shared" si="400"/>
        <v>二级</v>
      </c>
    </row>
    <row r="1062" customHeight="1" spans="1:7">
      <c r="A1062" s="3" t="str">
        <f>"2261"</f>
        <v>2261</v>
      </c>
      <c r="B1062" s="3" t="s">
        <v>1572</v>
      </c>
      <c r="C1062" s="3" t="str">
        <f>"城南路街道"</f>
        <v>城南路街道</v>
      </c>
      <c r="D1062" s="3" t="str">
        <f>"吴家坪社区"</f>
        <v>吴家坪社区</v>
      </c>
      <c r="E1062" s="3" t="str">
        <f t="shared" si="384"/>
        <v>140</v>
      </c>
      <c r="F1062" s="3" t="str">
        <f t="shared" si="399"/>
        <v>100</v>
      </c>
      <c r="G1062" s="3" t="str">
        <f t="shared" si="400"/>
        <v>二级</v>
      </c>
    </row>
    <row r="1063" customHeight="1" spans="1:7">
      <c r="A1063" s="3" t="str">
        <f>"2262"</f>
        <v>2262</v>
      </c>
      <c r="B1063" s="3" t="s">
        <v>1573</v>
      </c>
      <c r="C1063" s="3" t="str">
        <f>"裕南街街道"</f>
        <v>裕南街街道</v>
      </c>
      <c r="D1063" s="3" t="str">
        <f>"火把山社区"</f>
        <v>火把山社区</v>
      </c>
      <c r="E1063" s="3" t="str">
        <f t="shared" si="384"/>
        <v>140</v>
      </c>
      <c r="F1063" s="3" t="str">
        <f t="shared" si="399"/>
        <v>100</v>
      </c>
      <c r="G1063" s="3" t="str">
        <f t="shared" si="402"/>
        <v>一级</v>
      </c>
    </row>
    <row r="1064" customHeight="1" spans="1:7">
      <c r="A1064" s="3" t="str">
        <f>"2263"</f>
        <v>2263</v>
      </c>
      <c r="B1064" s="3" t="s">
        <v>1574</v>
      </c>
      <c r="C1064" s="3" t="str">
        <f t="shared" ref="C1064:C1070" si="403">"城南路街道"</f>
        <v>城南路街道</v>
      </c>
      <c r="D1064" s="3" t="str">
        <f>"古道巷社区"</f>
        <v>古道巷社区</v>
      </c>
      <c r="E1064" s="3" t="str">
        <f t="shared" si="384"/>
        <v>140</v>
      </c>
      <c r="F1064" s="3" t="str">
        <f t="shared" si="399"/>
        <v>100</v>
      </c>
      <c r="G1064" s="3" t="str">
        <f t="shared" ref="G1064:G1067" si="404">"二级"</f>
        <v>二级</v>
      </c>
    </row>
    <row r="1065" customHeight="1" spans="1:7">
      <c r="A1065" s="3" t="str">
        <f>"2264"</f>
        <v>2264</v>
      </c>
      <c r="B1065" s="3" t="s">
        <v>1575</v>
      </c>
      <c r="C1065" s="3" t="str">
        <f>"文源街道"</f>
        <v>文源街道</v>
      </c>
      <c r="D1065" s="3" t="str">
        <f>"状元坡社区"</f>
        <v>状元坡社区</v>
      </c>
      <c r="E1065" s="3" t="str">
        <f t="shared" si="384"/>
        <v>140</v>
      </c>
      <c r="F1065" s="3" t="str">
        <f t="shared" si="399"/>
        <v>100</v>
      </c>
      <c r="G1065" s="3" t="str">
        <f t="shared" si="402"/>
        <v>一级</v>
      </c>
    </row>
    <row r="1066" customHeight="1" spans="1:7">
      <c r="A1066" s="3" t="str">
        <f>"2265"</f>
        <v>2265</v>
      </c>
      <c r="B1066" s="3" t="s">
        <v>678</v>
      </c>
      <c r="C1066" s="3" t="str">
        <f>"青园街道"</f>
        <v>青园街道</v>
      </c>
      <c r="D1066" s="3" t="str">
        <f>"友谊社区"</f>
        <v>友谊社区</v>
      </c>
      <c r="E1066" s="3" t="str">
        <f t="shared" si="384"/>
        <v>140</v>
      </c>
      <c r="F1066" s="3" t="str">
        <f t="shared" si="399"/>
        <v>100</v>
      </c>
      <c r="G1066" s="3" t="str">
        <f t="shared" si="404"/>
        <v>二级</v>
      </c>
    </row>
    <row r="1067" customHeight="1" spans="1:7">
      <c r="A1067" s="3" t="str">
        <f>"2266"</f>
        <v>2266</v>
      </c>
      <c r="B1067" s="3" t="s">
        <v>1576</v>
      </c>
      <c r="C1067" s="3" t="str">
        <f>"桂花坪街道"</f>
        <v>桂花坪街道</v>
      </c>
      <c r="D1067" s="3" t="str">
        <f>"金桂社区"</f>
        <v>金桂社区</v>
      </c>
      <c r="E1067" s="3" t="str">
        <f t="shared" si="384"/>
        <v>140</v>
      </c>
      <c r="F1067" s="3" t="str">
        <f t="shared" si="399"/>
        <v>100</v>
      </c>
      <c r="G1067" s="3" t="str">
        <f t="shared" si="404"/>
        <v>二级</v>
      </c>
    </row>
    <row r="1068" customHeight="1" spans="1:7">
      <c r="A1068" s="3" t="str">
        <f>"2267"</f>
        <v>2267</v>
      </c>
      <c r="B1068" s="3" t="s">
        <v>1577</v>
      </c>
      <c r="C1068" s="3" t="str">
        <f t="shared" si="403"/>
        <v>城南路街道</v>
      </c>
      <c r="D1068" s="3" t="str">
        <f>"吴家坪社区"</f>
        <v>吴家坪社区</v>
      </c>
      <c r="E1068" s="3" t="str">
        <f t="shared" si="384"/>
        <v>140</v>
      </c>
      <c r="F1068" s="3" t="str">
        <f t="shared" ref="F1068:F1070" si="405">"0"</f>
        <v>0</v>
      </c>
      <c r="G1068" s="3" t="str">
        <f t="shared" ref="G1068:G1070" si="406">"四级"</f>
        <v>四级</v>
      </c>
    </row>
    <row r="1069" customHeight="1" spans="1:7">
      <c r="A1069" s="3" t="str">
        <f>"2268"</f>
        <v>2268</v>
      </c>
      <c r="B1069" s="3" t="s">
        <v>80</v>
      </c>
      <c r="C1069" s="3" t="str">
        <f t="shared" si="403"/>
        <v>城南路街道</v>
      </c>
      <c r="D1069" s="3" t="str">
        <f>"白沙井社区"</f>
        <v>白沙井社区</v>
      </c>
      <c r="E1069" s="3" t="str">
        <f t="shared" si="384"/>
        <v>140</v>
      </c>
      <c r="F1069" s="3" t="str">
        <f t="shared" si="405"/>
        <v>0</v>
      </c>
      <c r="G1069" s="3" t="str">
        <f t="shared" si="406"/>
        <v>四级</v>
      </c>
    </row>
    <row r="1070" customHeight="1" spans="1:7">
      <c r="A1070" s="3" t="str">
        <f>"2269"</f>
        <v>2269</v>
      </c>
      <c r="B1070" s="3" t="s">
        <v>80</v>
      </c>
      <c r="C1070" s="3" t="str">
        <f t="shared" si="403"/>
        <v>城南路街道</v>
      </c>
      <c r="D1070" s="3" t="str">
        <f>"吴家坪社区"</f>
        <v>吴家坪社区</v>
      </c>
      <c r="E1070" s="3" t="str">
        <f t="shared" si="384"/>
        <v>140</v>
      </c>
      <c r="F1070" s="3" t="str">
        <f t="shared" si="405"/>
        <v>0</v>
      </c>
      <c r="G1070" s="3" t="str">
        <f t="shared" si="406"/>
        <v>四级</v>
      </c>
    </row>
    <row r="1071" customHeight="1" spans="1:7">
      <c r="A1071" s="3" t="str">
        <f>"2270"</f>
        <v>2270</v>
      </c>
      <c r="B1071" s="3" t="s">
        <v>9</v>
      </c>
      <c r="C1071" s="3" t="str">
        <f t="shared" ref="C1071:C1076" si="407">"大托铺街道"</f>
        <v>大托铺街道</v>
      </c>
      <c r="D1071" s="3" t="str">
        <f t="shared" ref="D1071:D1076" si="408">"新港村委会"</f>
        <v>新港村委会</v>
      </c>
      <c r="E1071" s="3" t="str">
        <f t="shared" si="384"/>
        <v>140</v>
      </c>
      <c r="F1071" s="3" t="str">
        <f t="shared" ref="F1071:F1076" si="409">"100"</f>
        <v>100</v>
      </c>
      <c r="G1071" s="3" t="str">
        <f>"二级"</f>
        <v>二级</v>
      </c>
    </row>
    <row r="1072" customHeight="1" spans="1:7">
      <c r="A1072" s="3" t="str">
        <f>"2271"</f>
        <v>2271</v>
      </c>
      <c r="B1072" s="3" t="s">
        <v>1578</v>
      </c>
      <c r="C1072" s="3" t="str">
        <f t="shared" si="407"/>
        <v>大托铺街道</v>
      </c>
      <c r="D1072" s="3" t="str">
        <f>"兴隆村委会"</f>
        <v>兴隆村委会</v>
      </c>
      <c r="E1072" s="3" t="str">
        <f t="shared" si="384"/>
        <v>140</v>
      </c>
      <c r="F1072" s="3" t="str">
        <f t="shared" ref="F1072:F1075" si="410">"0"</f>
        <v>0</v>
      </c>
      <c r="G1072" s="3" t="str">
        <f>"四级"</f>
        <v>四级</v>
      </c>
    </row>
    <row r="1073" customHeight="1" spans="1:7">
      <c r="A1073" s="3" t="str">
        <f>"2272"</f>
        <v>2272</v>
      </c>
      <c r="B1073" s="3" t="s">
        <v>1579</v>
      </c>
      <c r="C1073" s="3" t="str">
        <f t="shared" si="407"/>
        <v>大托铺街道</v>
      </c>
      <c r="D1073" s="3" t="str">
        <f t="shared" si="408"/>
        <v>新港村委会</v>
      </c>
      <c r="E1073" s="3" t="str">
        <f t="shared" si="384"/>
        <v>140</v>
      </c>
      <c r="F1073" s="3" t="str">
        <f t="shared" si="409"/>
        <v>100</v>
      </c>
      <c r="G1073" s="3" t="str">
        <f>"一级"</f>
        <v>一级</v>
      </c>
    </row>
    <row r="1074" customHeight="1" spans="1:7">
      <c r="A1074" s="3" t="str">
        <f>"2273"</f>
        <v>2273</v>
      </c>
      <c r="B1074" s="3" t="s">
        <v>1580</v>
      </c>
      <c r="C1074" s="3" t="str">
        <f t="shared" si="407"/>
        <v>大托铺街道</v>
      </c>
      <c r="D1074" s="3" t="str">
        <f>"大托村委会"</f>
        <v>大托村委会</v>
      </c>
      <c r="E1074" s="3" t="str">
        <f t="shared" si="384"/>
        <v>140</v>
      </c>
      <c r="F1074" s="3" t="str">
        <f t="shared" si="410"/>
        <v>0</v>
      </c>
      <c r="G1074" s="3" t="str">
        <f t="shared" ref="G1074:G1079" si="411">"三级"</f>
        <v>三级</v>
      </c>
    </row>
    <row r="1075" customHeight="1" spans="1:7">
      <c r="A1075" s="3" t="str">
        <f>"2274"</f>
        <v>2274</v>
      </c>
      <c r="B1075" s="3" t="s">
        <v>1581</v>
      </c>
      <c r="C1075" s="3" t="str">
        <f t="shared" si="407"/>
        <v>大托铺街道</v>
      </c>
      <c r="D1075" s="3" t="str">
        <f>"黄合村委会"</f>
        <v>黄合村委会</v>
      </c>
      <c r="E1075" s="3" t="str">
        <f t="shared" si="384"/>
        <v>140</v>
      </c>
      <c r="F1075" s="3" t="str">
        <f t="shared" si="410"/>
        <v>0</v>
      </c>
      <c r="G1075" s="3" t="str">
        <f t="shared" si="411"/>
        <v>三级</v>
      </c>
    </row>
    <row r="1076" customHeight="1" spans="1:7">
      <c r="A1076" s="3" t="str">
        <f>"2275"</f>
        <v>2275</v>
      </c>
      <c r="B1076" s="3" t="s">
        <v>121</v>
      </c>
      <c r="C1076" s="3" t="str">
        <f t="shared" si="407"/>
        <v>大托铺街道</v>
      </c>
      <c r="D1076" s="3" t="str">
        <f t="shared" si="408"/>
        <v>新港村委会</v>
      </c>
      <c r="E1076" s="3" t="str">
        <f t="shared" si="384"/>
        <v>140</v>
      </c>
      <c r="F1076" s="3" t="str">
        <f t="shared" si="409"/>
        <v>100</v>
      </c>
      <c r="G1076" s="3" t="str">
        <f>"二级"</f>
        <v>二级</v>
      </c>
    </row>
    <row r="1077" customHeight="1" spans="1:7">
      <c r="A1077" s="3" t="str">
        <f>"2276"</f>
        <v>2276</v>
      </c>
      <c r="B1077" s="3" t="s">
        <v>1582</v>
      </c>
      <c r="C1077" s="3" t="str">
        <f>"城南路街道"</f>
        <v>城南路街道</v>
      </c>
      <c r="D1077" s="3" t="str">
        <f>"白沙井社区"</f>
        <v>白沙井社区</v>
      </c>
      <c r="E1077" s="3" t="str">
        <f t="shared" si="384"/>
        <v>140</v>
      </c>
      <c r="F1077" s="3" t="str">
        <f t="shared" ref="F1077:F1079" si="412">"0"</f>
        <v>0</v>
      </c>
      <c r="G1077" s="3" t="str">
        <f>"四级"</f>
        <v>四级</v>
      </c>
    </row>
    <row r="1078" customHeight="1" spans="1:7">
      <c r="A1078" s="3" t="str">
        <f>"2277"</f>
        <v>2277</v>
      </c>
      <c r="B1078" s="3" t="s">
        <v>1583</v>
      </c>
      <c r="C1078" s="3" t="str">
        <f t="shared" ref="C1078:C1081" si="413">"金盆岭街道"</f>
        <v>金盆岭街道</v>
      </c>
      <c r="D1078" s="3" t="str">
        <f t="shared" ref="D1078:D1081" si="414">"天剑社区"</f>
        <v>天剑社区</v>
      </c>
      <c r="E1078" s="3" t="str">
        <f t="shared" si="384"/>
        <v>140</v>
      </c>
      <c r="F1078" s="3" t="str">
        <f t="shared" si="412"/>
        <v>0</v>
      </c>
      <c r="G1078" s="3" t="str">
        <f t="shared" si="411"/>
        <v>三级</v>
      </c>
    </row>
    <row r="1079" customHeight="1" spans="1:7">
      <c r="A1079" s="3" t="str">
        <f>"2278"</f>
        <v>2278</v>
      </c>
      <c r="B1079" s="3" t="s">
        <v>1584</v>
      </c>
      <c r="C1079" s="3" t="str">
        <f t="shared" si="413"/>
        <v>金盆岭街道</v>
      </c>
      <c r="D1079" s="3" t="str">
        <f t="shared" si="414"/>
        <v>天剑社区</v>
      </c>
      <c r="E1079" s="3" t="str">
        <f t="shared" si="384"/>
        <v>140</v>
      </c>
      <c r="F1079" s="3" t="str">
        <f t="shared" si="412"/>
        <v>0</v>
      </c>
      <c r="G1079" s="3" t="str">
        <f t="shared" si="411"/>
        <v>三级</v>
      </c>
    </row>
    <row r="1080" customHeight="1" spans="1:7">
      <c r="A1080" s="3" t="str">
        <f>"2279"</f>
        <v>2279</v>
      </c>
      <c r="B1080" s="3" t="s">
        <v>442</v>
      </c>
      <c r="C1080" s="3" t="str">
        <f t="shared" ref="C1080:C1090" si="415">"大托铺街道"</f>
        <v>大托铺街道</v>
      </c>
      <c r="D1080" s="3" t="str">
        <f>"兴隆村委会"</f>
        <v>兴隆村委会</v>
      </c>
      <c r="E1080" s="3" t="str">
        <f t="shared" si="384"/>
        <v>140</v>
      </c>
      <c r="F1080" s="3" t="str">
        <f>"100"</f>
        <v>100</v>
      </c>
      <c r="G1080" s="3" t="str">
        <f>"一级"</f>
        <v>一级</v>
      </c>
    </row>
    <row r="1081" customHeight="1" spans="1:7">
      <c r="A1081" s="3" t="str">
        <f>"2280"</f>
        <v>2280</v>
      </c>
      <c r="B1081" s="3" t="s">
        <v>125</v>
      </c>
      <c r="C1081" s="3" t="str">
        <f t="shared" si="413"/>
        <v>金盆岭街道</v>
      </c>
      <c r="D1081" s="3" t="str">
        <f t="shared" si="414"/>
        <v>天剑社区</v>
      </c>
      <c r="E1081" s="3" t="str">
        <f t="shared" si="384"/>
        <v>140</v>
      </c>
      <c r="F1081" s="3" t="str">
        <f t="shared" ref="F1081:F1084" si="416">"0"</f>
        <v>0</v>
      </c>
      <c r="G1081" s="3" t="str">
        <f t="shared" ref="G1081:G1083" si="417">"三级"</f>
        <v>三级</v>
      </c>
    </row>
    <row r="1082" customHeight="1" spans="1:7">
      <c r="A1082" s="3" t="str">
        <f>"2281"</f>
        <v>2281</v>
      </c>
      <c r="B1082" s="3" t="s">
        <v>800</v>
      </c>
      <c r="C1082" s="3" t="str">
        <f>"城南路街道"</f>
        <v>城南路街道</v>
      </c>
      <c r="D1082" s="3" t="str">
        <f>"古道巷社区"</f>
        <v>古道巷社区</v>
      </c>
      <c r="E1082" s="3" t="str">
        <f t="shared" si="384"/>
        <v>140</v>
      </c>
      <c r="F1082" s="3" t="str">
        <f t="shared" si="416"/>
        <v>0</v>
      </c>
      <c r="G1082" s="3" t="str">
        <f t="shared" si="417"/>
        <v>三级</v>
      </c>
    </row>
    <row r="1083" customHeight="1" spans="1:7">
      <c r="A1083" s="3" t="str">
        <f>"2282"</f>
        <v>2282</v>
      </c>
      <c r="B1083" s="3" t="s">
        <v>1585</v>
      </c>
      <c r="C1083" s="3" t="str">
        <f t="shared" si="415"/>
        <v>大托铺街道</v>
      </c>
      <c r="D1083" s="3" t="str">
        <f t="shared" ref="D1083:D1086" si="418">"桂井村委会"</f>
        <v>桂井村委会</v>
      </c>
      <c r="E1083" s="3" t="str">
        <f t="shared" si="384"/>
        <v>140</v>
      </c>
      <c r="F1083" s="3" t="str">
        <f t="shared" si="416"/>
        <v>0</v>
      </c>
      <c r="G1083" s="3" t="str">
        <f t="shared" si="417"/>
        <v>三级</v>
      </c>
    </row>
    <row r="1084" customHeight="1" spans="1:7">
      <c r="A1084" s="3" t="str">
        <f>"2283"</f>
        <v>2283</v>
      </c>
      <c r="B1084" s="3" t="s">
        <v>11</v>
      </c>
      <c r="C1084" s="3" t="str">
        <f>"裕南街街道"</f>
        <v>裕南街街道</v>
      </c>
      <c r="D1084" s="3" t="str">
        <f>"碧沙湖社区"</f>
        <v>碧沙湖社区</v>
      </c>
      <c r="E1084" s="3" t="str">
        <f t="shared" si="384"/>
        <v>140</v>
      </c>
      <c r="F1084" s="3" t="str">
        <f t="shared" si="416"/>
        <v>0</v>
      </c>
      <c r="G1084" s="3" t="str">
        <f>"四级"</f>
        <v>四级</v>
      </c>
    </row>
    <row r="1085" customHeight="1" spans="1:7">
      <c r="A1085" s="3" t="str">
        <f>"2284"</f>
        <v>2284</v>
      </c>
      <c r="B1085" s="3" t="s">
        <v>1586</v>
      </c>
      <c r="C1085" s="3" t="str">
        <f t="shared" si="415"/>
        <v>大托铺街道</v>
      </c>
      <c r="D1085" s="3" t="str">
        <f t="shared" si="418"/>
        <v>桂井村委会</v>
      </c>
      <c r="E1085" s="3" t="str">
        <f t="shared" si="384"/>
        <v>140</v>
      </c>
      <c r="F1085" s="3" t="str">
        <f>"100"</f>
        <v>100</v>
      </c>
      <c r="G1085" s="3" t="str">
        <f>"二级"</f>
        <v>二级</v>
      </c>
    </row>
    <row r="1086" customHeight="1" spans="1:7">
      <c r="A1086" s="3" t="str">
        <f>"2285"</f>
        <v>2285</v>
      </c>
      <c r="B1086" s="3" t="s">
        <v>1587</v>
      </c>
      <c r="C1086" s="3" t="str">
        <f t="shared" si="415"/>
        <v>大托铺街道</v>
      </c>
      <c r="D1086" s="3" t="str">
        <f t="shared" si="418"/>
        <v>桂井村委会</v>
      </c>
      <c r="E1086" s="3" t="str">
        <f t="shared" si="384"/>
        <v>140</v>
      </c>
      <c r="F1086" s="3" t="str">
        <f t="shared" ref="F1086:F1092" si="419">"0"</f>
        <v>0</v>
      </c>
      <c r="G1086" s="3" t="str">
        <f>"四级"</f>
        <v>四级</v>
      </c>
    </row>
    <row r="1087" customHeight="1" spans="1:7">
      <c r="A1087" s="3" t="str">
        <f>"2286"</f>
        <v>2286</v>
      </c>
      <c r="B1087" s="3" t="s">
        <v>1588</v>
      </c>
      <c r="C1087" s="3" t="str">
        <f t="shared" si="415"/>
        <v>大托铺街道</v>
      </c>
      <c r="D1087" s="3" t="str">
        <f>"大托村委会"</f>
        <v>大托村委会</v>
      </c>
      <c r="E1087" s="3" t="str">
        <f t="shared" si="384"/>
        <v>140</v>
      </c>
      <c r="F1087" s="3" t="str">
        <f>"100"</f>
        <v>100</v>
      </c>
      <c r="G1087" s="3" t="str">
        <f>"二级"</f>
        <v>二级</v>
      </c>
    </row>
    <row r="1088" customHeight="1" spans="1:7">
      <c r="A1088" s="3" t="str">
        <f>"2287"</f>
        <v>2287</v>
      </c>
      <c r="B1088" s="3" t="s">
        <v>1589</v>
      </c>
      <c r="C1088" s="3" t="str">
        <f t="shared" si="415"/>
        <v>大托铺街道</v>
      </c>
      <c r="D1088" s="3" t="str">
        <f t="shared" ref="D1088:D1090" si="420">"桂井村委会"</f>
        <v>桂井村委会</v>
      </c>
      <c r="E1088" s="3" t="str">
        <f t="shared" si="384"/>
        <v>140</v>
      </c>
      <c r="F1088" s="3" t="str">
        <f t="shared" si="419"/>
        <v>0</v>
      </c>
      <c r="G1088" s="3" t="str">
        <f t="shared" ref="G1088:G1091" si="421">"三级"</f>
        <v>三级</v>
      </c>
    </row>
    <row r="1089" customHeight="1" spans="1:7">
      <c r="A1089" s="3" t="str">
        <f>"2288"</f>
        <v>2288</v>
      </c>
      <c r="B1089" s="3" t="s">
        <v>690</v>
      </c>
      <c r="C1089" s="3" t="str">
        <f t="shared" si="415"/>
        <v>大托铺街道</v>
      </c>
      <c r="D1089" s="3" t="str">
        <f t="shared" si="420"/>
        <v>桂井村委会</v>
      </c>
      <c r="E1089" s="3" t="str">
        <f t="shared" si="384"/>
        <v>140</v>
      </c>
      <c r="F1089" s="3" t="str">
        <f t="shared" si="419"/>
        <v>0</v>
      </c>
      <c r="G1089" s="3" t="str">
        <f t="shared" si="421"/>
        <v>三级</v>
      </c>
    </row>
    <row r="1090" customHeight="1" spans="1:7">
      <c r="A1090" s="3" t="str">
        <f>"2289"</f>
        <v>2289</v>
      </c>
      <c r="B1090" s="3" t="s">
        <v>1590</v>
      </c>
      <c r="C1090" s="3" t="str">
        <f t="shared" si="415"/>
        <v>大托铺街道</v>
      </c>
      <c r="D1090" s="3" t="str">
        <f t="shared" si="420"/>
        <v>桂井村委会</v>
      </c>
      <c r="E1090" s="3" t="str">
        <f t="shared" ref="E1090:E1153" si="422">"140"</f>
        <v>140</v>
      </c>
      <c r="F1090" s="3" t="str">
        <f t="shared" si="419"/>
        <v>0</v>
      </c>
      <c r="G1090" s="3" t="str">
        <f t="shared" ref="G1090:G1097" si="423">"四级"</f>
        <v>四级</v>
      </c>
    </row>
    <row r="1091" customHeight="1" spans="1:7">
      <c r="A1091" s="3" t="str">
        <f>"2290"</f>
        <v>2290</v>
      </c>
      <c r="B1091" s="3" t="s">
        <v>1591</v>
      </c>
      <c r="C1091" s="3" t="str">
        <f t="shared" ref="C1091:C1094" si="424">"裕南街街道"</f>
        <v>裕南街街道</v>
      </c>
      <c r="D1091" s="3" t="str">
        <f>"碧沙湖社区"</f>
        <v>碧沙湖社区</v>
      </c>
      <c r="E1091" s="3" t="str">
        <f t="shared" si="422"/>
        <v>140</v>
      </c>
      <c r="F1091" s="3" t="str">
        <f t="shared" si="419"/>
        <v>0</v>
      </c>
      <c r="G1091" s="3" t="str">
        <f t="shared" si="421"/>
        <v>三级</v>
      </c>
    </row>
    <row r="1092" customHeight="1" spans="1:7">
      <c r="A1092" s="3" t="str">
        <f>"2291"</f>
        <v>2291</v>
      </c>
      <c r="B1092" s="3" t="s">
        <v>1592</v>
      </c>
      <c r="C1092" s="3" t="str">
        <f t="shared" si="424"/>
        <v>裕南街街道</v>
      </c>
      <c r="D1092" s="3" t="str">
        <f>"南站社区"</f>
        <v>南站社区</v>
      </c>
      <c r="E1092" s="3" t="str">
        <f t="shared" si="422"/>
        <v>140</v>
      </c>
      <c r="F1092" s="3" t="str">
        <f t="shared" si="419"/>
        <v>0</v>
      </c>
      <c r="G1092" s="3" t="str">
        <f t="shared" si="423"/>
        <v>四级</v>
      </c>
    </row>
    <row r="1093" customHeight="1" spans="1:7">
      <c r="A1093" s="3" t="str">
        <f>"2292"</f>
        <v>2292</v>
      </c>
      <c r="B1093" s="3" t="s">
        <v>1001</v>
      </c>
      <c r="C1093" s="3" t="str">
        <f>"城南路街道"</f>
        <v>城南路街道</v>
      </c>
      <c r="D1093" s="3" t="str">
        <f>"吴家坪社区"</f>
        <v>吴家坪社区</v>
      </c>
      <c r="E1093" s="3" t="str">
        <f t="shared" si="422"/>
        <v>140</v>
      </c>
      <c r="F1093" s="3" t="str">
        <f>"100"</f>
        <v>100</v>
      </c>
      <c r="G1093" s="3" t="str">
        <f>"一级"</f>
        <v>一级</v>
      </c>
    </row>
    <row r="1094" customHeight="1" spans="1:7">
      <c r="A1094" s="3" t="str">
        <f>"2293"</f>
        <v>2293</v>
      </c>
      <c r="B1094" s="3" t="s">
        <v>112</v>
      </c>
      <c r="C1094" s="3" t="str">
        <f t="shared" si="424"/>
        <v>裕南街街道</v>
      </c>
      <c r="D1094" s="3" t="str">
        <f>"碧沙湖社区"</f>
        <v>碧沙湖社区</v>
      </c>
      <c r="E1094" s="3" t="str">
        <f t="shared" si="422"/>
        <v>140</v>
      </c>
      <c r="F1094" s="3" t="str">
        <f t="shared" ref="F1094:F1097" si="425">"0"</f>
        <v>0</v>
      </c>
      <c r="G1094" s="3" t="str">
        <f>"三级"</f>
        <v>三级</v>
      </c>
    </row>
    <row r="1095" customHeight="1" spans="1:7">
      <c r="A1095" s="3" t="str">
        <f>"2294"</f>
        <v>2294</v>
      </c>
      <c r="B1095" s="3" t="s">
        <v>1593</v>
      </c>
      <c r="C1095" s="3" t="str">
        <f>"新开铺街道"</f>
        <v>新开铺街道</v>
      </c>
      <c r="D1095" s="3" t="str">
        <f>"新天社区"</f>
        <v>新天社区</v>
      </c>
      <c r="E1095" s="3" t="str">
        <f t="shared" si="422"/>
        <v>140</v>
      </c>
      <c r="F1095" s="3" t="str">
        <f t="shared" si="425"/>
        <v>0</v>
      </c>
      <c r="G1095" s="3" t="str">
        <f t="shared" si="423"/>
        <v>四级</v>
      </c>
    </row>
    <row r="1096" customHeight="1" spans="1:7">
      <c r="A1096" s="3" t="str">
        <f>"2295"</f>
        <v>2295</v>
      </c>
      <c r="B1096" s="3" t="s">
        <v>679</v>
      </c>
      <c r="C1096" s="3" t="str">
        <f t="shared" ref="C1096:C1103" si="426">"大托铺街道"</f>
        <v>大托铺街道</v>
      </c>
      <c r="D1096" s="3" t="str">
        <f t="shared" ref="D1096:D1102" si="427">"新港村委会"</f>
        <v>新港村委会</v>
      </c>
      <c r="E1096" s="3" t="str">
        <f t="shared" si="422"/>
        <v>140</v>
      </c>
      <c r="F1096" s="3" t="str">
        <f t="shared" si="425"/>
        <v>0</v>
      </c>
      <c r="G1096" s="3" t="str">
        <f t="shared" si="423"/>
        <v>四级</v>
      </c>
    </row>
    <row r="1097" customHeight="1" spans="1:7">
      <c r="A1097" s="3" t="str">
        <f>"2296"</f>
        <v>2296</v>
      </c>
      <c r="B1097" s="3" t="s">
        <v>1594</v>
      </c>
      <c r="C1097" s="3" t="str">
        <f>"城南路街道"</f>
        <v>城南路街道</v>
      </c>
      <c r="D1097" s="3" t="str">
        <f>"燕子岭社区"</f>
        <v>燕子岭社区</v>
      </c>
      <c r="E1097" s="3" t="str">
        <f t="shared" si="422"/>
        <v>140</v>
      </c>
      <c r="F1097" s="3" t="str">
        <f t="shared" si="425"/>
        <v>0</v>
      </c>
      <c r="G1097" s="3" t="str">
        <f t="shared" si="423"/>
        <v>四级</v>
      </c>
    </row>
    <row r="1098" customHeight="1" spans="1:7">
      <c r="A1098" s="3" t="str">
        <f>"2297"</f>
        <v>2297</v>
      </c>
      <c r="B1098" s="3" t="s">
        <v>1595</v>
      </c>
      <c r="C1098" s="3" t="str">
        <f t="shared" si="426"/>
        <v>大托铺街道</v>
      </c>
      <c r="D1098" s="3" t="str">
        <f>"大托村委会"</f>
        <v>大托村委会</v>
      </c>
      <c r="E1098" s="3" t="str">
        <f t="shared" si="422"/>
        <v>140</v>
      </c>
      <c r="F1098" s="3" t="str">
        <f t="shared" ref="F1098:F1101" si="428">"100"</f>
        <v>100</v>
      </c>
      <c r="G1098" s="3" t="str">
        <f t="shared" ref="G1098:G1101" si="429">"二级"</f>
        <v>二级</v>
      </c>
    </row>
    <row r="1099" customHeight="1" spans="1:7">
      <c r="A1099" s="3" t="str">
        <f>"2298"</f>
        <v>2298</v>
      </c>
      <c r="B1099" s="3" t="s">
        <v>569</v>
      </c>
      <c r="C1099" s="3" t="str">
        <f t="shared" si="426"/>
        <v>大托铺街道</v>
      </c>
      <c r="D1099" s="3" t="str">
        <f t="shared" si="427"/>
        <v>新港村委会</v>
      </c>
      <c r="E1099" s="3" t="str">
        <f t="shared" si="422"/>
        <v>140</v>
      </c>
      <c r="F1099" s="3" t="str">
        <f t="shared" si="428"/>
        <v>100</v>
      </c>
      <c r="G1099" s="3" t="str">
        <f t="shared" si="429"/>
        <v>二级</v>
      </c>
    </row>
    <row r="1100" customHeight="1" spans="1:7">
      <c r="A1100" s="3" t="str">
        <f>"2299"</f>
        <v>2299</v>
      </c>
      <c r="B1100" s="3" t="s">
        <v>632</v>
      </c>
      <c r="C1100" s="3" t="str">
        <f t="shared" si="426"/>
        <v>大托铺街道</v>
      </c>
      <c r="D1100" s="3" t="str">
        <f>"黄合村委会"</f>
        <v>黄合村委会</v>
      </c>
      <c r="E1100" s="3" t="str">
        <f t="shared" si="422"/>
        <v>140</v>
      </c>
      <c r="F1100" s="3" t="str">
        <f t="shared" ref="F1100:F1105" si="430">"0"</f>
        <v>0</v>
      </c>
      <c r="G1100" s="3" t="str">
        <f t="shared" ref="G1100:G1105" si="431">"三级"</f>
        <v>三级</v>
      </c>
    </row>
    <row r="1101" customHeight="1" spans="1:7">
      <c r="A1101" s="3" t="str">
        <f>"2300"</f>
        <v>2300</v>
      </c>
      <c r="B1101" s="3" t="s">
        <v>972</v>
      </c>
      <c r="C1101" s="3" t="str">
        <f t="shared" si="426"/>
        <v>大托铺街道</v>
      </c>
      <c r="D1101" s="3" t="str">
        <f t="shared" si="427"/>
        <v>新港村委会</v>
      </c>
      <c r="E1101" s="3" t="str">
        <f t="shared" si="422"/>
        <v>140</v>
      </c>
      <c r="F1101" s="3" t="str">
        <f t="shared" si="428"/>
        <v>100</v>
      </c>
      <c r="G1101" s="3" t="str">
        <f t="shared" si="429"/>
        <v>二级</v>
      </c>
    </row>
    <row r="1102" customHeight="1" spans="1:7">
      <c r="A1102" s="3" t="str">
        <f>"2301"</f>
        <v>2301</v>
      </c>
      <c r="B1102" s="3" t="s">
        <v>70</v>
      </c>
      <c r="C1102" s="3" t="str">
        <f t="shared" si="426"/>
        <v>大托铺街道</v>
      </c>
      <c r="D1102" s="3" t="str">
        <f t="shared" si="427"/>
        <v>新港村委会</v>
      </c>
      <c r="E1102" s="3" t="str">
        <f t="shared" si="422"/>
        <v>140</v>
      </c>
      <c r="F1102" s="3" t="str">
        <f t="shared" si="430"/>
        <v>0</v>
      </c>
      <c r="G1102" s="3" t="str">
        <f>"四级"</f>
        <v>四级</v>
      </c>
    </row>
    <row r="1103" customHeight="1" spans="1:7">
      <c r="A1103" s="3" t="str">
        <f>"2302"</f>
        <v>2302</v>
      </c>
      <c r="B1103" s="3" t="s">
        <v>1596</v>
      </c>
      <c r="C1103" s="3" t="str">
        <f t="shared" si="426"/>
        <v>大托铺街道</v>
      </c>
      <c r="D1103" s="3" t="str">
        <f>"大托村委会"</f>
        <v>大托村委会</v>
      </c>
      <c r="E1103" s="3" t="str">
        <f t="shared" si="422"/>
        <v>140</v>
      </c>
      <c r="F1103" s="3" t="str">
        <f t="shared" si="430"/>
        <v>0</v>
      </c>
      <c r="G1103" s="3" t="str">
        <f t="shared" si="431"/>
        <v>三级</v>
      </c>
    </row>
    <row r="1104" customHeight="1" spans="1:7">
      <c r="A1104" s="3" t="str">
        <f>"2303"</f>
        <v>2303</v>
      </c>
      <c r="B1104" s="3" t="s">
        <v>1597</v>
      </c>
      <c r="C1104" s="3" t="str">
        <f t="shared" ref="C1104:C1109" si="432">"裕南街街道"</f>
        <v>裕南街街道</v>
      </c>
      <c r="D1104" s="3" t="str">
        <f>"宝塔山社区"</f>
        <v>宝塔山社区</v>
      </c>
      <c r="E1104" s="3" t="str">
        <f t="shared" si="422"/>
        <v>140</v>
      </c>
      <c r="F1104" s="3" t="str">
        <f t="shared" si="430"/>
        <v>0</v>
      </c>
      <c r="G1104" s="3" t="str">
        <f t="shared" si="431"/>
        <v>三级</v>
      </c>
    </row>
    <row r="1105" customHeight="1" spans="1:7">
      <c r="A1105" s="3" t="str">
        <f>"2304"</f>
        <v>2304</v>
      </c>
      <c r="B1105" s="3" t="s">
        <v>1598</v>
      </c>
      <c r="C1105" s="3" t="str">
        <f>"大托铺街道"</f>
        <v>大托铺街道</v>
      </c>
      <c r="D1105" s="3" t="str">
        <f>"大托村委会"</f>
        <v>大托村委会</v>
      </c>
      <c r="E1105" s="3" t="str">
        <f t="shared" si="422"/>
        <v>140</v>
      </c>
      <c r="F1105" s="3" t="str">
        <f t="shared" si="430"/>
        <v>0</v>
      </c>
      <c r="G1105" s="3" t="str">
        <f t="shared" si="431"/>
        <v>三级</v>
      </c>
    </row>
    <row r="1106" customHeight="1" spans="1:7">
      <c r="A1106" s="3" t="str">
        <f>"2305"</f>
        <v>2305</v>
      </c>
      <c r="B1106" s="3" t="s">
        <v>54</v>
      </c>
      <c r="C1106" s="3" t="str">
        <f>"大托铺街道"</f>
        <v>大托铺街道</v>
      </c>
      <c r="D1106" s="3" t="str">
        <f>"黄合村委会"</f>
        <v>黄合村委会</v>
      </c>
      <c r="E1106" s="3" t="str">
        <f t="shared" si="422"/>
        <v>140</v>
      </c>
      <c r="F1106" s="3" t="str">
        <f>"100"</f>
        <v>100</v>
      </c>
      <c r="G1106" s="3" t="str">
        <f>"二级"</f>
        <v>二级</v>
      </c>
    </row>
    <row r="1107" customHeight="1" spans="1:7">
      <c r="A1107" s="3" t="str">
        <f>"2306"</f>
        <v>2306</v>
      </c>
      <c r="B1107" s="3" t="s">
        <v>1599</v>
      </c>
      <c r="C1107" s="3" t="str">
        <f t="shared" si="432"/>
        <v>裕南街街道</v>
      </c>
      <c r="D1107" s="3" t="str">
        <f t="shared" ref="D1107:D1109" si="433">"长坡社区"</f>
        <v>长坡社区</v>
      </c>
      <c r="E1107" s="3" t="str">
        <f t="shared" si="422"/>
        <v>140</v>
      </c>
      <c r="F1107" s="3" t="str">
        <f t="shared" ref="F1107:F1111" si="434">"0"</f>
        <v>0</v>
      </c>
      <c r="G1107" s="3" t="str">
        <f t="shared" ref="G1107:G1109" si="435">"四级"</f>
        <v>四级</v>
      </c>
    </row>
    <row r="1108" customHeight="1" spans="1:7">
      <c r="A1108" s="3" t="str">
        <f>"2307"</f>
        <v>2307</v>
      </c>
      <c r="B1108" s="3" t="s">
        <v>1600</v>
      </c>
      <c r="C1108" s="3" t="str">
        <f t="shared" si="432"/>
        <v>裕南街街道</v>
      </c>
      <c r="D1108" s="3" t="str">
        <f t="shared" si="433"/>
        <v>长坡社区</v>
      </c>
      <c r="E1108" s="3" t="str">
        <f t="shared" si="422"/>
        <v>140</v>
      </c>
      <c r="F1108" s="3" t="str">
        <f t="shared" si="434"/>
        <v>0</v>
      </c>
      <c r="G1108" s="3" t="str">
        <f t="shared" si="435"/>
        <v>四级</v>
      </c>
    </row>
    <row r="1109" customHeight="1" spans="1:7">
      <c r="A1109" s="3" t="str">
        <f>"2308"</f>
        <v>2308</v>
      </c>
      <c r="B1109" s="3" t="s">
        <v>794</v>
      </c>
      <c r="C1109" s="3" t="str">
        <f t="shared" si="432"/>
        <v>裕南街街道</v>
      </c>
      <c r="D1109" s="3" t="str">
        <f t="shared" si="433"/>
        <v>长坡社区</v>
      </c>
      <c r="E1109" s="3" t="str">
        <f t="shared" si="422"/>
        <v>140</v>
      </c>
      <c r="F1109" s="3" t="str">
        <f t="shared" si="434"/>
        <v>0</v>
      </c>
      <c r="G1109" s="3" t="str">
        <f t="shared" si="435"/>
        <v>四级</v>
      </c>
    </row>
    <row r="1110" customHeight="1" spans="1:7">
      <c r="A1110" s="3" t="str">
        <f>"2309"</f>
        <v>2309</v>
      </c>
      <c r="B1110" s="3" t="s">
        <v>1601</v>
      </c>
      <c r="C1110" s="3" t="str">
        <f>"金盆岭街道"</f>
        <v>金盆岭街道</v>
      </c>
      <c r="D1110" s="3" t="str">
        <f>"天剑社区"</f>
        <v>天剑社区</v>
      </c>
      <c r="E1110" s="3" t="str">
        <f t="shared" si="422"/>
        <v>140</v>
      </c>
      <c r="F1110" s="3" t="str">
        <f t="shared" si="434"/>
        <v>0</v>
      </c>
      <c r="G1110" s="3" t="str">
        <f t="shared" ref="G1110:G1116" si="436">"三级"</f>
        <v>三级</v>
      </c>
    </row>
    <row r="1111" customHeight="1" spans="1:7">
      <c r="A1111" s="3" t="str">
        <f>"2310"</f>
        <v>2310</v>
      </c>
      <c r="B1111" s="3" t="s">
        <v>1602</v>
      </c>
      <c r="C1111" s="3" t="str">
        <f t="shared" ref="C1111:C1117" si="437">"裕南街街道"</f>
        <v>裕南街街道</v>
      </c>
      <c r="D1111" s="3" t="str">
        <f>"长坡社区"</f>
        <v>长坡社区</v>
      </c>
      <c r="E1111" s="3" t="str">
        <f t="shared" si="422"/>
        <v>140</v>
      </c>
      <c r="F1111" s="3" t="str">
        <f t="shared" si="434"/>
        <v>0</v>
      </c>
      <c r="G1111" s="3" t="str">
        <f t="shared" si="436"/>
        <v>三级</v>
      </c>
    </row>
    <row r="1112" customHeight="1" spans="1:7">
      <c r="A1112" s="3" t="str">
        <f>"2311"</f>
        <v>2311</v>
      </c>
      <c r="B1112" s="3" t="s">
        <v>1603</v>
      </c>
      <c r="C1112" s="3" t="str">
        <f t="shared" si="437"/>
        <v>裕南街街道</v>
      </c>
      <c r="D1112" s="3" t="str">
        <f>"长坡社区"</f>
        <v>长坡社区</v>
      </c>
      <c r="E1112" s="3" t="str">
        <f t="shared" si="422"/>
        <v>140</v>
      </c>
      <c r="F1112" s="3" t="str">
        <f>"100"</f>
        <v>100</v>
      </c>
      <c r="G1112" s="3" t="str">
        <f>"二级"</f>
        <v>二级</v>
      </c>
    </row>
    <row r="1113" customHeight="1" spans="1:7">
      <c r="A1113" s="3" t="str">
        <f>"2312"</f>
        <v>2312</v>
      </c>
      <c r="B1113" s="3" t="s">
        <v>1604</v>
      </c>
      <c r="C1113" s="3" t="str">
        <f t="shared" si="437"/>
        <v>裕南街街道</v>
      </c>
      <c r="D1113" s="3" t="str">
        <f>"裕南街社区"</f>
        <v>裕南街社区</v>
      </c>
      <c r="E1113" s="3" t="str">
        <f t="shared" si="422"/>
        <v>140</v>
      </c>
      <c r="F1113" s="3" t="str">
        <f t="shared" ref="F1113:F1116" si="438">"0"</f>
        <v>0</v>
      </c>
      <c r="G1113" s="3" t="str">
        <f t="shared" si="436"/>
        <v>三级</v>
      </c>
    </row>
    <row r="1114" customHeight="1" spans="1:7">
      <c r="A1114" s="3" t="str">
        <f>"2313"</f>
        <v>2313</v>
      </c>
      <c r="B1114" s="3" t="s">
        <v>1241</v>
      </c>
      <c r="C1114" s="3" t="str">
        <f t="shared" si="437"/>
        <v>裕南街街道</v>
      </c>
      <c r="D1114" s="3" t="str">
        <f>"裕南街社区"</f>
        <v>裕南街社区</v>
      </c>
      <c r="E1114" s="3" t="str">
        <f t="shared" si="422"/>
        <v>140</v>
      </c>
      <c r="F1114" s="3" t="str">
        <f t="shared" si="438"/>
        <v>0</v>
      </c>
      <c r="G1114" s="3" t="str">
        <f t="shared" si="436"/>
        <v>三级</v>
      </c>
    </row>
    <row r="1115" customHeight="1" spans="1:7">
      <c r="A1115" s="3" t="str">
        <f>"2314"</f>
        <v>2314</v>
      </c>
      <c r="B1115" s="3" t="s">
        <v>1605</v>
      </c>
      <c r="C1115" s="3" t="str">
        <f t="shared" si="437"/>
        <v>裕南街街道</v>
      </c>
      <c r="D1115" s="3" t="str">
        <f>"石子冲社区"</f>
        <v>石子冲社区</v>
      </c>
      <c r="E1115" s="3" t="str">
        <f t="shared" si="422"/>
        <v>140</v>
      </c>
      <c r="F1115" s="3" t="str">
        <f t="shared" si="438"/>
        <v>0</v>
      </c>
      <c r="G1115" s="3" t="str">
        <f t="shared" si="436"/>
        <v>三级</v>
      </c>
    </row>
    <row r="1116" customHeight="1" spans="1:7">
      <c r="A1116" s="3" t="str">
        <f>"2315"</f>
        <v>2315</v>
      </c>
      <c r="B1116" s="3" t="s">
        <v>68</v>
      </c>
      <c r="C1116" s="3" t="str">
        <f t="shared" si="437"/>
        <v>裕南街街道</v>
      </c>
      <c r="D1116" s="3" t="str">
        <f>"宝塔山社区"</f>
        <v>宝塔山社区</v>
      </c>
      <c r="E1116" s="3" t="str">
        <f t="shared" si="422"/>
        <v>140</v>
      </c>
      <c r="F1116" s="3" t="str">
        <f t="shared" si="438"/>
        <v>0</v>
      </c>
      <c r="G1116" s="3" t="str">
        <f t="shared" si="436"/>
        <v>三级</v>
      </c>
    </row>
    <row r="1117" customHeight="1" spans="1:7">
      <c r="A1117" s="3" t="str">
        <f>"2316"</f>
        <v>2316</v>
      </c>
      <c r="B1117" s="3" t="s">
        <v>1606</v>
      </c>
      <c r="C1117" s="3" t="str">
        <f t="shared" si="437"/>
        <v>裕南街街道</v>
      </c>
      <c r="D1117" s="3" t="str">
        <f>"长坡社区"</f>
        <v>长坡社区</v>
      </c>
      <c r="E1117" s="3" t="str">
        <f t="shared" si="422"/>
        <v>140</v>
      </c>
      <c r="F1117" s="3" t="str">
        <f>"100"</f>
        <v>100</v>
      </c>
      <c r="G1117" s="3" t="str">
        <f>"一级"</f>
        <v>一级</v>
      </c>
    </row>
    <row r="1118" customHeight="1" spans="1:7">
      <c r="A1118" s="3" t="str">
        <f>"2317"</f>
        <v>2317</v>
      </c>
      <c r="B1118" s="3" t="s">
        <v>139</v>
      </c>
      <c r="C1118" s="3" t="str">
        <f>"金盆岭街道"</f>
        <v>金盆岭街道</v>
      </c>
      <c r="D1118" s="3" t="str">
        <f>"夏家冲社区"</f>
        <v>夏家冲社区</v>
      </c>
      <c r="E1118" s="3" t="str">
        <f t="shared" si="422"/>
        <v>140</v>
      </c>
      <c r="F1118" s="3" t="str">
        <f t="shared" ref="F1118:F1126" si="439">"0"</f>
        <v>0</v>
      </c>
      <c r="G1118" s="3" t="str">
        <f t="shared" ref="G1118:G1123" si="440">"四级"</f>
        <v>四级</v>
      </c>
    </row>
    <row r="1119" customHeight="1" spans="1:7">
      <c r="A1119" s="3" t="str">
        <f>"2318"</f>
        <v>2318</v>
      </c>
      <c r="B1119" s="3" t="s">
        <v>1607</v>
      </c>
      <c r="C1119" s="3" t="str">
        <f t="shared" ref="C1119:C1123" si="441">"裕南街街道"</f>
        <v>裕南街街道</v>
      </c>
      <c r="D1119" s="3" t="str">
        <f>"向东南社区"</f>
        <v>向东南社区</v>
      </c>
      <c r="E1119" s="3" t="str">
        <f t="shared" si="422"/>
        <v>140</v>
      </c>
      <c r="F1119" s="3" t="str">
        <f t="shared" si="439"/>
        <v>0</v>
      </c>
      <c r="G1119" s="3" t="str">
        <f t="shared" si="440"/>
        <v>四级</v>
      </c>
    </row>
    <row r="1120" customHeight="1" spans="1:7">
      <c r="A1120" s="3" t="str">
        <f>"2319"</f>
        <v>2319</v>
      </c>
      <c r="B1120" s="3" t="s">
        <v>1608</v>
      </c>
      <c r="C1120" s="3" t="str">
        <f>"新开铺街道"</f>
        <v>新开铺街道</v>
      </c>
      <c r="D1120" s="3" t="str">
        <f>"豹子岭社区"</f>
        <v>豹子岭社区</v>
      </c>
      <c r="E1120" s="3" t="str">
        <f t="shared" si="422"/>
        <v>140</v>
      </c>
      <c r="F1120" s="3" t="str">
        <f t="shared" si="439"/>
        <v>0</v>
      </c>
      <c r="G1120" s="3" t="str">
        <f t="shared" si="440"/>
        <v>四级</v>
      </c>
    </row>
    <row r="1121" customHeight="1" spans="1:7">
      <c r="A1121" s="3" t="str">
        <f>"2320"</f>
        <v>2320</v>
      </c>
      <c r="B1121" s="3" t="s">
        <v>1609</v>
      </c>
      <c r="C1121" s="3" t="str">
        <f t="shared" si="441"/>
        <v>裕南街街道</v>
      </c>
      <c r="D1121" s="3" t="str">
        <f>"火把山社区"</f>
        <v>火把山社区</v>
      </c>
      <c r="E1121" s="3" t="str">
        <f t="shared" si="422"/>
        <v>140</v>
      </c>
      <c r="F1121" s="3" t="str">
        <f t="shared" si="439"/>
        <v>0</v>
      </c>
      <c r="G1121" s="3" t="str">
        <f t="shared" si="440"/>
        <v>四级</v>
      </c>
    </row>
    <row r="1122" customHeight="1" spans="1:7">
      <c r="A1122" s="3" t="str">
        <f>"2321"</f>
        <v>2321</v>
      </c>
      <c r="B1122" s="3" t="s">
        <v>146</v>
      </c>
      <c r="C1122" s="3" t="str">
        <f t="shared" si="441"/>
        <v>裕南街街道</v>
      </c>
      <c r="D1122" s="3" t="str">
        <f>"东瓜山社区"</f>
        <v>东瓜山社区</v>
      </c>
      <c r="E1122" s="3" t="str">
        <f t="shared" si="422"/>
        <v>140</v>
      </c>
      <c r="F1122" s="3" t="str">
        <f t="shared" si="439"/>
        <v>0</v>
      </c>
      <c r="G1122" s="3" t="str">
        <f t="shared" si="440"/>
        <v>四级</v>
      </c>
    </row>
    <row r="1123" customHeight="1" spans="1:7">
      <c r="A1123" s="3" t="str">
        <f>"2322"</f>
        <v>2322</v>
      </c>
      <c r="B1123" s="3" t="s">
        <v>52</v>
      </c>
      <c r="C1123" s="3" t="str">
        <f t="shared" si="441"/>
        <v>裕南街街道</v>
      </c>
      <c r="D1123" s="3" t="str">
        <f>"向东南社区"</f>
        <v>向东南社区</v>
      </c>
      <c r="E1123" s="3" t="str">
        <f t="shared" si="422"/>
        <v>140</v>
      </c>
      <c r="F1123" s="3" t="str">
        <f t="shared" si="439"/>
        <v>0</v>
      </c>
      <c r="G1123" s="3" t="str">
        <f t="shared" si="440"/>
        <v>四级</v>
      </c>
    </row>
    <row r="1124" customHeight="1" spans="1:7">
      <c r="A1124" s="3" t="str">
        <f>"2323"</f>
        <v>2323</v>
      </c>
      <c r="B1124" s="3" t="s">
        <v>1610</v>
      </c>
      <c r="C1124" s="3" t="str">
        <f t="shared" ref="C1124:C1129" si="442">"暮云街道"</f>
        <v>暮云街道</v>
      </c>
      <c r="D1124" s="3" t="str">
        <f>"暮云社区"</f>
        <v>暮云社区</v>
      </c>
      <c r="E1124" s="3" t="str">
        <f t="shared" si="422"/>
        <v>140</v>
      </c>
      <c r="F1124" s="3" t="str">
        <f t="shared" si="439"/>
        <v>0</v>
      </c>
      <c r="G1124" s="3" t="str">
        <f t="shared" ref="G1124:G1129" si="443">"三级"</f>
        <v>三级</v>
      </c>
    </row>
    <row r="1125" customHeight="1" spans="1:7">
      <c r="A1125" s="3" t="str">
        <f>"2324"</f>
        <v>2324</v>
      </c>
      <c r="B1125" s="3" t="s">
        <v>1611</v>
      </c>
      <c r="C1125" s="3" t="str">
        <f>"裕南街街道"</f>
        <v>裕南街街道</v>
      </c>
      <c r="D1125" s="3" t="str">
        <f>"长坡社区"</f>
        <v>长坡社区</v>
      </c>
      <c r="E1125" s="3" t="str">
        <f t="shared" si="422"/>
        <v>140</v>
      </c>
      <c r="F1125" s="3" t="str">
        <f t="shared" si="439"/>
        <v>0</v>
      </c>
      <c r="G1125" s="3" t="str">
        <f t="shared" si="443"/>
        <v>三级</v>
      </c>
    </row>
    <row r="1126" customHeight="1" spans="1:7">
      <c r="A1126" s="3" t="str">
        <f>"2325"</f>
        <v>2325</v>
      </c>
      <c r="B1126" s="3" t="s">
        <v>265</v>
      </c>
      <c r="C1126" s="3" t="str">
        <f>"裕南街街道"</f>
        <v>裕南街街道</v>
      </c>
      <c r="D1126" s="3" t="str">
        <f>"长坡社区"</f>
        <v>长坡社区</v>
      </c>
      <c r="E1126" s="3" t="str">
        <f t="shared" si="422"/>
        <v>140</v>
      </c>
      <c r="F1126" s="3" t="str">
        <f t="shared" si="439"/>
        <v>0</v>
      </c>
      <c r="G1126" s="3" t="str">
        <f t="shared" ref="G1126:G1131" si="444">"四级"</f>
        <v>四级</v>
      </c>
    </row>
    <row r="1127" customHeight="1" spans="1:7">
      <c r="A1127" s="3" t="str">
        <f>"2326"</f>
        <v>2326</v>
      </c>
      <c r="B1127" s="3" t="s">
        <v>1612</v>
      </c>
      <c r="C1127" s="3" t="str">
        <f t="shared" si="442"/>
        <v>暮云街道</v>
      </c>
      <c r="D1127" s="3" t="str">
        <f>"暮云社区"</f>
        <v>暮云社区</v>
      </c>
      <c r="E1127" s="3" t="str">
        <f t="shared" si="422"/>
        <v>140</v>
      </c>
      <c r="F1127" s="3" t="str">
        <f>"100"</f>
        <v>100</v>
      </c>
      <c r="G1127" s="3" t="str">
        <f>"一级"</f>
        <v>一级</v>
      </c>
    </row>
    <row r="1128" customHeight="1" spans="1:7">
      <c r="A1128" s="3" t="str">
        <f>"2327"</f>
        <v>2327</v>
      </c>
      <c r="B1128" s="3" t="s">
        <v>1613</v>
      </c>
      <c r="C1128" s="3" t="str">
        <f t="shared" ref="C1128:C1132" si="445">"赤岭路街道"</f>
        <v>赤岭路街道</v>
      </c>
      <c r="D1128" s="3" t="str">
        <f>"广厦新村社区"</f>
        <v>广厦新村社区</v>
      </c>
      <c r="E1128" s="3" t="str">
        <f t="shared" si="422"/>
        <v>140</v>
      </c>
      <c r="F1128" s="3" t="str">
        <f t="shared" ref="F1128:F1134" si="446">"0"</f>
        <v>0</v>
      </c>
      <c r="G1128" s="3" t="str">
        <f t="shared" si="443"/>
        <v>三级</v>
      </c>
    </row>
    <row r="1129" customHeight="1" spans="1:7">
      <c r="A1129" s="3" t="str">
        <f>"2328"</f>
        <v>2328</v>
      </c>
      <c r="B1129" s="3" t="s">
        <v>1614</v>
      </c>
      <c r="C1129" s="3" t="str">
        <f t="shared" si="442"/>
        <v>暮云街道</v>
      </c>
      <c r="D1129" s="3" t="str">
        <f>"莲华村"</f>
        <v>莲华村</v>
      </c>
      <c r="E1129" s="3" t="str">
        <f t="shared" si="422"/>
        <v>140</v>
      </c>
      <c r="F1129" s="3" t="str">
        <f t="shared" si="446"/>
        <v>0</v>
      </c>
      <c r="G1129" s="3" t="str">
        <f t="shared" si="443"/>
        <v>三级</v>
      </c>
    </row>
    <row r="1130" customHeight="1" spans="1:7">
      <c r="A1130" s="3" t="str">
        <f>"2329"</f>
        <v>2329</v>
      </c>
      <c r="B1130" s="3" t="s">
        <v>721</v>
      </c>
      <c r="C1130" s="3" t="str">
        <f t="shared" si="445"/>
        <v>赤岭路街道</v>
      </c>
      <c r="D1130" s="3" t="str">
        <f>"猴子石社区"</f>
        <v>猴子石社区</v>
      </c>
      <c r="E1130" s="3" t="str">
        <f t="shared" si="422"/>
        <v>140</v>
      </c>
      <c r="F1130" s="3" t="str">
        <f t="shared" si="446"/>
        <v>0</v>
      </c>
      <c r="G1130" s="3" t="str">
        <f t="shared" si="444"/>
        <v>四级</v>
      </c>
    </row>
    <row r="1131" customHeight="1" spans="1:7">
      <c r="A1131" s="3" t="str">
        <f>"2330"</f>
        <v>2330</v>
      </c>
      <c r="B1131" s="3" t="s">
        <v>1615</v>
      </c>
      <c r="C1131" s="3" t="str">
        <f t="shared" si="445"/>
        <v>赤岭路街道</v>
      </c>
      <c r="D1131" s="3" t="str">
        <f>"书院路社区"</f>
        <v>书院路社区</v>
      </c>
      <c r="E1131" s="3" t="str">
        <f t="shared" si="422"/>
        <v>140</v>
      </c>
      <c r="F1131" s="3" t="str">
        <f t="shared" si="446"/>
        <v>0</v>
      </c>
      <c r="G1131" s="3" t="str">
        <f t="shared" si="444"/>
        <v>四级</v>
      </c>
    </row>
    <row r="1132" customHeight="1" spans="1:7">
      <c r="A1132" s="3" t="str">
        <f>"2331"</f>
        <v>2331</v>
      </c>
      <c r="B1132" s="3" t="s">
        <v>75</v>
      </c>
      <c r="C1132" s="3" t="str">
        <f t="shared" si="445"/>
        <v>赤岭路街道</v>
      </c>
      <c r="D1132" s="3" t="str">
        <f>"广厦新村社区"</f>
        <v>广厦新村社区</v>
      </c>
      <c r="E1132" s="3" t="str">
        <f t="shared" si="422"/>
        <v>140</v>
      </c>
      <c r="F1132" s="3" t="str">
        <f t="shared" si="446"/>
        <v>0</v>
      </c>
      <c r="G1132" s="3" t="str">
        <f>"三级"</f>
        <v>三级</v>
      </c>
    </row>
    <row r="1133" customHeight="1" spans="1:7">
      <c r="A1133" s="3" t="str">
        <f>"2332"</f>
        <v>2332</v>
      </c>
      <c r="B1133" s="3" t="s">
        <v>125</v>
      </c>
      <c r="C1133" s="3" t="str">
        <f t="shared" ref="C1133:C1136" si="447">"文源街道"</f>
        <v>文源街道</v>
      </c>
      <c r="D1133" s="3" t="str">
        <f>"天鸿社区"</f>
        <v>天鸿社区</v>
      </c>
      <c r="E1133" s="3" t="str">
        <f t="shared" si="422"/>
        <v>140</v>
      </c>
      <c r="F1133" s="3" t="str">
        <f t="shared" si="446"/>
        <v>0</v>
      </c>
      <c r="G1133" s="3" t="str">
        <f t="shared" ref="G1133:G1138" si="448">"四级"</f>
        <v>四级</v>
      </c>
    </row>
    <row r="1134" customHeight="1" spans="1:7">
      <c r="A1134" s="3" t="str">
        <f>"2333"</f>
        <v>2333</v>
      </c>
      <c r="B1134" s="3" t="s">
        <v>1616</v>
      </c>
      <c r="C1134" s="3" t="str">
        <f>"城南路街道"</f>
        <v>城南路街道</v>
      </c>
      <c r="D1134" s="3" t="str">
        <f>"古道巷社区"</f>
        <v>古道巷社区</v>
      </c>
      <c r="E1134" s="3" t="str">
        <f t="shared" si="422"/>
        <v>140</v>
      </c>
      <c r="F1134" s="3" t="str">
        <f t="shared" si="446"/>
        <v>0</v>
      </c>
      <c r="G1134" s="3" t="str">
        <f t="shared" si="448"/>
        <v>四级</v>
      </c>
    </row>
    <row r="1135" customHeight="1" spans="1:7">
      <c r="A1135" s="3" t="str">
        <f>"2334"</f>
        <v>2334</v>
      </c>
      <c r="B1135" s="3" t="s">
        <v>1617</v>
      </c>
      <c r="C1135" s="3" t="str">
        <f t="shared" si="447"/>
        <v>文源街道</v>
      </c>
      <c r="D1135" s="3" t="str">
        <f>"梅岭社区"</f>
        <v>梅岭社区</v>
      </c>
      <c r="E1135" s="3" t="str">
        <f t="shared" si="422"/>
        <v>140</v>
      </c>
      <c r="F1135" s="3" t="str">
        <f>"100"</f>
        <v>100</v>
      </c>
      <c r="G1135" s="3" t="str">
        <f>"二级"</f>
        <v>二级</v>
      </c>
    </row>
    <row r="1136" customHeight="1" spans="1:7">
      <c r="A1136" s="3" t="str">
        <f>"2335"</f>
        <v>2335</v>
      </c>
      <c r="B1136" s="3" t="s">
        <v>1618</v>
      </c>
      <c r="C1136" s="3" t="str">
        <f t="shared" si="447"/>
        <v>文源街道</v>
      </c>
      <c r="D1136" s="3" t="str">
        <f>"梅岭社区"</f>
        <v>梅岭社区</v>
      </c>
      <c r="E1136" s="3" t="str">
        <f t="shared" si="422"/>
        <v>140</v>
      </c>
      <c r="F1136" s="3" t="str">
        <f t="shared" ref="F1136:F1138" si="449">"0"</f>
        <v>0</v>
      </c>
      <c r="G1136" s="3" t="str">
        <f t="shared" si="448"/>
        <v>四级</v>
      </c>
    </row>
    <row r="1137" customHeight="1" spans="1:7">
      <c r="A1137" s="3" t="str">
        <f>"2336"</f>
        <v>2336</v>
      </c>
      <c r="B1137" s="3" t="s">
        <v>1619</v>
      </c>
      <c r="C1137" s="3" t="str">
        <f t="shared" ref="C1137:C1141" si="450">"裕南街街道"</f>
        <v>裕南街街道</v>
      </c>
      <c r="D1137" s="3" t="str">
        <f t="shared" ref="D1137:D1140" si="451">"裕南街社区"</f>
        <v>裕南街社区</v>
      </c>
      <c r="E1137" s="3" t="str">
        <f t="shared" si="422"/>
        <v>140</v>
      </c>
      <c r="F1137" s="3" t="str">
        <f t="shared" si="449"/>
        <v>0</v>
      </c>
      <c r="G1137" s="3" t="str">
        <f t="shared" si="448"/>
        <v>四级</v>
      </c>
    </row>
    <row r="1138" customHeight="1" spans="1:7">
      <c r="A1138" s="3" t="str">
        <f>"2337"</f>
        <v>2337</v>
      </c>
      <c r="B1138" s="3" t="s">
        <v>1620</v>
      </c>
      <c r="C1138" s="3" t="str">
        <f t="shared" si="450"/>
        <v>裕南街街道</v>
      </c>
      <c r="D1138" s="3" t="str">
        <f t="shared" si="451"/>
        <v>裕南街社区</v>
      </c>
      <c r="E1138" s="3" t="str">
        <f t="shared" si="422"/>
        <v>140</v>
      </c>
      <c r="F1138" s="3" t="str">
        <f t="shared" si="449"/>
        <v>0</v>
      </c>
      <c r="G1138" s="3" t="str">
        <f t="shared" si="448"/>
        <v>四级</v>
      </c>
    </row>
    <row r="1139" customHeight="1" spans="1:7">
      <c r="A1139" s="3" t="str">
        <f>"2338"</f>
        <v>2338</v>
      </c>
      <c r="B1139" s="3" t="s">
        <v>1621</v>
      </c>
      <c r="C1139" s="3" t="str">
        <f t="shared" si="450"/>
        <v>裕南街街道</v>
      </c>
      <c r="D1139" s="3" t="str">
        <f t="shared" si="451"/>
        <v>裕南街社区</v>
      </c>
      <c r="E1139" s="3" t="str">
        <f t="shared" si="422"/>
        <v>140</v>
      </c>
      <c r="F1139" s="3" t="str">
        <f t="shared" ref="F1139:F1143" si="452">"100"</f>
        <v>100</v>
      </c>
      <c r="G1139" s="3" t="str">
        <f>"一级"</f>
        <v>一级</v>
      </c>
    </row>
    <row r="1140" customHeight="1" spans="1:7">
      <c r="A1140" s="3" t="str">
        <f>"2339"</f>
        <v>2339</v>
      </c>
      <c r="B1140" s="3" t="s">
        <v>1622</v>
      </c>
      <c r="C1140" s="3" t="str">
        <f t="shared" si="450"/>
        <v>裕南街街道</v>
      </c>
      <c r="D1140" s="3" t="str">
        <f t="shared" si="451"/>
        <v>裕南街社区</v>
      </c>
      <c r="E1140" s="3" t="str">
        <f t="shared" si="422"/>
        <v>140</v>
      </c>
      <c r="F1140" s="3" t="str">
        <f t="shared" ref="F1140:F1146" si="453">"0"</f>
        <v>0</v>
      </c>
      <c r="G1140" s="3" t="str">
        <f>"四级"</f>
        <v>四级</v>
      </c>
    </row>
    <row r="1141" customHeight="1" spans="1:7">
      <c r="A1141" s="3" t="str">
        <f>"2340"</f>
        <v>2340</v>
      </c>
      <c r="B1141" s="3" t="s">
        <v>125</v>
      </c>
      <c r="C1141" s="3" t="str">
        <f t="shared" si="450"/>
        <v>裕南街街道</v>
      </c>
      <c r="D1141" s="3" t="str">
        <f>"火把山社区"</f>
        <v>火把山社区</v>
      </c>
      <c r="E1141" s="3" t="str">
        <f t="shared" si="422"/>
        <v>140</v>
      </c>
      <c r="F1141" s="3" t="str">
        <f t="shared" si="452"/>
        <v>100</v>
      </c>
      <c r="G1141" s="3" t="str">
        <f>"一级"</f>
        <v>一级</v>
      </c>
    </row>
    <row r="1142" customHeight="1" spans="1:7">
      <c r="A1142" s="3" t="str">
        <f>"2341"</f>
        <v>2341</v>
      </c>
      <c r="B1142" s="3" t="s">
        <v>70</v>
      </c>
      <c r="C1142" s="3" t="str">
        <f>"金盆岭街道"</f>
        <v>金盆岭街道</v>
      </c>
      <c r="D1142" s="3" t="str">
        <f>"黄土岭社区"</f>
        <v>黄土岭社区</v>
      </c>
      <c r="E1142" s="3" t="str">
        <f t="shared" si="422"/>
        <v>140</v>
      </c>
      <c r="F1142" s="3" t="str">
        <f t="shared" si="452"/>
        <v>100</v>
      </c>
      <c r="G1142" s="3" t="str">
        <f t="shared" ref="G1142:G1147" si="454">"二级"</f>
        <v>二级</v>
      </c>
    </row>
    <row r="1143" customHeight="1" spans="1:7">
      <c r="A1143" s="3" t="str">
        <f>"2342"</f>
        <v>2342</v>
      </c>
      <c r="B1143" s="3" t="s">
        <v>267</v>
      </c>
      <c r="C1143" s="3" t="str">
        <f>"裕南街街道"</f>
        <v>裕南街街道</v>
      </c>
      <c r="D1143" s="3" t="str">
        <f>"仰天湖社区"</f>
        <v>仰天湖社区</v>
      </c>
      <c r="E1143" s="3" t="str">
        <f t="shared" si="422"/>
        <v>140</v>
      </c>
      <c r="F1143" s="3" t="str">
        <f t="shared" si="452"/>
        <v>100</v>
      </c>
      <c r="G1143" s="3" t="str">
        <f t="shared" si="454"/>
        <v>二级</v>
      </c>
    </row>
    <row r="1144" customHeight="1" spans="1:7">
      <c r="A1144" s="3" t="str">
        <f>"2343"</f>
        <v>2343</v>
      </c>
      <c r="B1144" s="3" t="s">
        <v>1623</v>
      </c>
      <c r="C1144" s="3" t="str">
        <f>"新开铺街道"</f>
        <v>新开铺街道</v>
      </c>
      <c r="D1144" s="3" t="str">
        <f>"豹子岭社区"</f>
        <v>豹子岭社区</v>
      </c>
      <c r="E1144" s="3" t="str">
        <f t="shared" si="422"/>
        <v>140</v>
      </c>
      <c r="F1144" s="3" t="str">
        <f t="shared" si="453"/>
        <v>0</v>
      </c>
      <c r="G1144" s="3" t="str">
        <f>"四级"</f>
        <v>四级</v>
      </c>
    </row>
    <row r="1145" customHeight="1" spans="1:7">
      <c r="A1145" s="3" t="str">
        <f>"2344"</f>
        <v>2344</v>
      </c>
      <c r="B1145" s="3" t="s">
        <v>1624</v>
      </c>
      <c r="C1145" s="3" t="str">
        <f t="shared" ref="C1145:C1148" si="455">"南托街道"</f>
        <v>南托街道</v>
      </c>
      <c r="D1145" s="3" t="str">
        <f t="shared" ref="D1145:D1148" si="456">"滨洲新村"</f>
        <v>滨洲新村</v>
      </c>
      <c r="E1145" s="3" t="str">
        <f t="shared" si="422"/>
        <v>140</v>
      </c>
      <c r="F1145" s="3" t="str">
        <f t="shared" si="453"/>
        <v>0</v>
      </c>
      <c r="G1145" s="3" t="str">
        <f t="shared" ref="G1145:G1148" si="457">"三级"</f>
        <v>三级</v>
      </c>
    </row>
    <row r="1146" customHeight="1" spans="1:7">
      <c r="A1146" s="3" t="str">
        <f>"2345"</f>
        <v>2345</v>
      </c>
      <c r="B1146" s="3" t="s">
        <v>1625</v>
      </c>
      <c r="C1146" s="3" t="str">
        <f t="shared" si="455"/>
        <v>南托街道</v>
      </c>
      <c r="D1146" s="3" t="str">
        <f t="shared" si="456"/>
        <v>滨洲新村</v>
      </c>
      <c r="E1146" s="3" t="str">
        <f t="shared" si="422"/>
        <v>140</v>
      </c>
      <c r="F1146" s="3" t="str">
        <f t="shared" si="453"/>
        <v>0</v>
      </c>
      <c r="G1146" s="3" t="str">
        <f t="shared" si="457"/>
        <v>三级</v>
      </c>
    </row>
    <row r="1147" customHeight="1" spans="1:7">
      <c r="A1147" s="3" t="str">
        <f>"2346"</f>
        <v>2346</v>
      </c>
      <c r="B1147" s="3" t="s">
        <v>1626</v>
      </c>
      <c r="C1147" s="3" t="str">
        <f t="shared" si="455"/>
        <v>南托街道</v>
      </c>
      <c r="D1147" s="3" t="str">
        <f t="shared" si="456"/>
        <v>滨洲新村</v>
      </c>
      <c r="E1147" s="3" t="str">
        <f t="shared" si="422"/>
        <v>140</v>
      </c>
      <c r="F1147" s="3" t="str">
        <f>"100"</f>
        <v>100</v>
      </c>
      <c r="G1147" s="3" t="str">
        <f t="shared" si="454"/>
        <v>二级</v>
      </c>
    </row>
    <row r="1148" customHeight="1" spans="1:7">
      <c r="A1148" s="3" t="str">
        <f>"2347"</f>
        <v>2347</v>
      </c>
      <c r="B1148" s="3" t="s">
        <v>1627</v>
      </c>
      <c r="C1148" s="3" t="str">
        <f t="shared" si="455"/>
        <v>南托街道</v>
      </c>
      <c r="D1148" s="3" t="str">
        <f t="shared" si="456"/>
        <v>滨洲新村</v>
      </c>
      <c r="E1148" s="3" t="str">
        <f t="shared" si="422"/>
        <v>140</v>
      </c>
      <c r="F1148" s="3" t="str">
        <f t="shared" ref="F1148:F1151" si="458">"0"</f>
        <v>0</v>
      </c>
      <c r="G1148" s="3" t="str">
        <f t="shared" si="457"/>
        <v>三级</v>
      </c>
    </row>
    <row r="1149" customHeight="1" spans="1:7">
      <c r="A1149" s="3" t="str">
        <f>"2348"</f>
        <v>2348</v>
      </c>
      <c r="B1149" s="3" t="s">
        <v>1628</v>
      </c>
      <c r="C1149" s="3" t="str">
        <f>"城南路街道"</f>
        <v>城南路街道</v>
      </c>
      <c r="D1149" s="3" t="str">
        <f>"古道巷社区"</f>
        <v>古道巷社区</v>
      </c>
      <c r="E1149" s="3" t="str">
        <f t="shared" si="422"/>
        <v>140</v>
      </c>
      <c r="F1149" s="3" t="str">
        <f t="shared" si="458"/>
        <v>0</v>
      </c>
      <c r="G1149" s="3" t="str">
        <f>"四级"</f>
        <v>四级</v>
      </c>
    </row>
    <row r="1150" customHeight="1" spans="1:7">
      <c r="A1150" s="3" t="str">
        <f>"2349"</f>
        <v>2349</v>
      </c>
      <c r="B1150" s="3" t="s">
        <v>560</v>
      </c>
      <c r="C1150" s="3" t="str">
        <f>"暮云街道"</f>
        <v>暮云街道</v>
      </c>
      <c r="D1150" s="3" t="str">
        <f>"许兴村"</f>
        <v>许兴村</v>
      </c>
      <c r="E1150" s="3" t="str">
        <f t="shared" si="422"/>
        <v>140</v>
      </c>
      <c r="F1150" s="3" t="str">
        <f t="shared" si="458"/>
        <v>0</v>
      </c>
      <c r="G1150" s="3" t="str">
        <f>"四级"</f>
        <v>四级</v>
      </c>
    </row>
    <row r="1151" customHeight="1" spans="1:7">
      <c r="A1151" s="3" t="str">
        <f>"2350"</f>
        <v>2350</v>
      </c>
      <c r="B1151" s="3" t="s">
        <v>146</v>
      </c>
      <c r="C1151" s="3" t="str">
        <f t="shared" ref="C1151:C1156" si="459">"南托街道"</f>
        <v>南托街道</v>
      </c>
      <c r="D1151" s="3" t="str">
        <f>"滨洲新村"</f>
        <v>滨洲新村</v>
      </c>
      <c r="E1151" s="3" t="str">
        <f t="shared" si="422"/>
        <v>140</v>
      </c>
      <c r="F1151" s="3" t="str">
        <f t="shared" si="458"/>
        <v>0</v>
      </c>
      <c r="G1151" s="3" t="str">
        <f t="shared" ref="G1151:G1154" si="460">"三级"</f>
        <v>三级</v>
      </c>
    </row>
    <row r="1152" customHeight="1" spans="1:7">
      <c r="A1152" s="3" t="str">
        <f>"2351"</f>
        <v>2351</v>
      </c>
      <c r="B1152" s="3" t="s">
        <v>1217</v>
      </c>
      <c r="C1152" s="3" t="str">
        <f>"城南路街道"</f>
        <v>城南路街道</v>
      </c>
      <c r="D1152" s="3" t="str">
        <f>"古道巷社区"</f>
        <v>古道巷社区</v>
      </c>
      <c r="E1152" s="3" t="str">
        <f t="shared" si="422"/>
        <v>140</v>
      </c>
      <c r="F1152" s="3" t="str">
        <f>"100"</f>
        <v>100</v>
      </c>
      <c r="G1152" s="3" t="str">
        <f>"二级"</f>
        <v>二级</v>
      </c>
    </row>
    <row r="1153" customHeight="1" spans="1:7">
      <c r="A1153" s="3" t="str">
        <f>"2352"</f>
        <v>2352</v>
      </c>
      <c r="B1153" s="3" t="s">
        <v>26</v>
      </c>
      <c r="C1153" s="3" t="str">
        <f t="shared" si="459"/>
        <v>南托街道</v>
      </c>
      <c r="D1153" s="3" t="str">
        <f>"滨洲新村"</f>
        <v>滨洲新村</v>
      </c>
      <c r="E1153" s="3" t="str">
        <f t="shared" si="422"/>
        <v>140</v>
      </c>
      <c r="F1153" s="3" t="str">
        <f t="shared" ref="F1153:F1156" si="461">"0"</f>
        <v>0</v>
      </c>
      <c r="G1153" s="3" t="str">
        <f t="shared" si="460"/>
        <v>三级</v>
      </c>
    </row>
    <row r="1154" customHeight="1" spans="1:7">
      <c r="A1154" s="3" t="str">
        <f>"2353"</f>
        <v>2353</v>
      </c>
      <c r="B1154" s="3" t="s">
        <v>125</v>
      </c>
      <c r="C1154" s="3" t="str">
        <f t="shared" si="459"/>
        <v>南托街道</v>
      </c>
      <c r="D1154" s="3" t="str">
        <f>"牛角塘村"</f>
        <v>牛角塘村</v>
      </c>
      <c r="E1154" s="3" t="str">
        <f t="shared" ref="E1154:E1201" si="462">"140"</f>
        <v>140</v>
      </c>
      <c r="F1154" s="3" t="str">
        <f t="shared" si="461"/>
        <v>0</v>
      </c>
      <c r="G1154" s="3" t="str">
        <f t="shared" si="460"/>
        <v>三级</v>
      </c>
    </row>
    <row r="1155" customHeight="1" spans="1:7">
      <c r="A1155" s="3" t="str">
        <f>"2354"</f>
        <v>2354</v>
      </c>
      <c r="B1155" s="3" t="s">
        <v>1629</v>
      </c>
      <c r="C1155" s="3" t="str">
        <f t="shared" si="459"/>
        <v>南托街道</v>
      </c>
      <c r="D1155" s="3" t="str">
        <f>"南托岭社区"</f>
        <v>南托岭社区</v>
      </c>
      <c r="E1155" s="3" t="str">
        <f t="shared" si="462"/>
        <v>140</v>
      </c>
      <c r="F1155" s="3" t="str">
        <f t="shared" si="461"/>
        <v>0</v>
      </c>
      <c r="G1155" s="3" t="str">
        <f>"四级"</f>
        <v>四级</v>
      </c>
    </row>
    <row r="1156" customHeight="1" spans="1:7">
      <c r="A1156" s="3" t="str">
        <f>"2355"</f>
        <v>2355</v>
      </c>
      <c r="B1156" s="3" t="s">
        <v>146</v>
      </c>
      <c r="C1156" s="3" t="str">
        <f t="shared" si="459"/>
        <v>南托街道</v>
      </c>
      <c r="D1156" s="3" t="str">
        <f>"沿江村"</f>
        <v>沿江村</v>
      </c>
      <c r="E1156" s="3" t="str">
        <f t="shared" si="462"/>
        <v>140</v>
      </c>
      <c r="F1156" s="3" t="str">
        <f t="shared" si="461"/>
        <v>0</v>
      </c>
      <c r="G1156" s="3" t="str">
        <f t="shared" ref="G1156:G1160" si="463">"三级"</f>
        <v>三级</v>
      </c>
    </row>
    <row r="1157" customHeight="1" spans="1:7">
      <c r="A1157" s="3" t="str">
        <f>"2356"</f>
        <v>2356</v>
      </c>
      <c r="B1157" s="3" t="s">
        <v>1630</v>
      </c>
      <c r="C1157" s="3" t="str">
        <f>"城南路街道"</f>
        <v>城南路街道</v>
      </c>
      <c r="D1157" s="3" t="str">
        <f>"古道巷社区"</f>
        <v>古道巷社区</v>
      </c>
      <c r="E1157" s="3" t="str">
        <f t="shared" si="462"/>
        <v>140</v>
      </c>
      <c r="F1157" s="3" t="str">
        <f t="shared" ref="F1157:F1161" si="464">"100"</f>
        <v>100</v>
      </c>
      <c r="G1157" s="3" t="str">
        <f>"二级"</f>
        <v>二级</v>
      </c>
    </row>
    <row r="1158" customHeight="1" spans="1:7">
      <c r="A1158" s="3" t="str">
        <f>"2357"</f>
        <v>2357</v>
      </c>
      <c r="B1158" s="3" t="s">
        <v>1631</v>
      </c>
      <c r="C1158" s="3" t="str">
        <f t="shared" ref="C1158:C1161" si="465">"南托街道"</f>
        <v>南托街道</v>
      </c>
      <c r="D1158" s="3" t="str">
        <f>"沿江村"</f>
        <v>沿江村</v>
      </c>
      <c r="E1158" s="3" t="str">
        <f t="shared" si="462"/>
        <v>140</v>
      </c>
      <c r="F1158" s="3" t="str">
        <f t="shared" si="464"/>
        <v>100</v>
      </c>
      <c r="G1158" s="3" t="str">
        <f>"一级"</f>
        <v>一级</v>
      </c>
    </row>
    <row r="1159" customHeight="1" spans="1:7">
      <c r="A1159" s="3" t="str">
        <f>"2358"</f>
        <v>2358</v>
      </c>
      <c r="B1159" s="3" t="s">
        <v>1632</v>
      </c>
      <c r="C1159" s="3" t="str">
        <f t="shared" si="465"/>
        <v>南托街道</v>
      </c>
      <c r="D1159" s="3" t="str">
        <f>"北塘社区"</f>
        <v>北塘社区</v>
      </c>
      <c r="E1159" s="3" t="str">
        <f t="shared" si="462"/>
        <v>140</v>
      </c>
      <c r="F1159" s="3" t="str">
        <f t="shared" ref="F1159:F1170" si="466">"0"</f>
        <v>0</v>
      </c>
      <c r="G1159" s="3" t="str">
        <f t="shared" si="463"/>
        <v>三级</v>
      </c>
    </row>
    <row r="1160" customHeight="1" spans="1:7">
      <c r="A1160" s="3" t="str">
        <f>"2359"</f>
        <v>2359</v>
      </c>
      <c r="B1160" s="3" t="s">
        <v>745</v>
      </c>
      <c r="C1160" s="3" t="str">
        <f>"大托铺街道"</f>
        <v>大托铺街道</v>
      </c>
      <c r="D1160" s="3" t="str">
        <f>"黄合村委会"</f>
        <v>黄合村委会</v>
      </c>
      <c r="E1160" s="3" t="str">
        <f t="shared" si="462"/>
        <v>140</v>
      </c>
      <c r="F1160" s="3" t="str">
        <f t="shared" si="466"/>
        <v>0</v>
      </c>
      <c r="G1160" s="3" t="str">
        <f t="shared" si="463"/>
        <v>三级</v>
      </c>
    </row>
    <row r="1161" customHeight="1" spans="1:7">
      <c r="A1161" s="3" t="str">
        <f>"2360"</f>
        <v>2360</v>
      </c>
      <c r="B1161" s="3" t="s">
        <v>616</v>
      </c>
      <c r="C1161" s="3" t="str">
        <f t="shared" si="465"/>
        <v>南托街道</v>
      </c>
      <c r="D1161" s="3" t="str">
        <f>"牛角塘社区"</f>
        <v>牛角塘社区</v>
      </c>
      <c r="E1161" s="3" t="str">
        <f t="shared" si="462"/>
        <v>140</v>
      </c>
      <c r="F1161" s="3" t="str">
        <f t="shared" si="464"/>
        <v>100</v>
      </c>
      <c r="G1161" s="3" t="str">
        <f>"二级"</f>
        <v>二级</v>
      </c>
    </row>
    <row r="1162" customHeight="1" spans="1:7">
      <c r="A1162" s="3" t="str">
        <f>"2361"</f>
        <v>2361</v>
      </c>
      <c r="B1162" s="3" t="s">
        <v>1633</v>
      </c>
      <c r="C1162" s="3" t="str">
        <f t="shared" ref="C1162:C1166" si="467">"城南路街道"</f>
        <v>城南路街道</v>
      </c>
      <c r="D1162" s="3" t="str">
        <f>"燕子岭社区"</f>
        <v>燕子岭社区</v>
      </c>
      <c r="E1162" s="3" t="str">
        <f t="shared" si="462"/>
        <v>140</v>
      </c>
      <c r="F1162" s="3" t="str">
        <f t="shared" si="466"/>
        <v>0</v>
      </c>
      <c r="G1162" s="3" t="str">
        <f t="shared" ref="G1162:G1165" si="468">"四级"</f>
        <v>四级</v>
      </c>
    </row>
    <row r="1163" customHeight="1" spans="1:7">
      <c r="A1163" s="3" t="str">
        <f>"2362"</f>
        <v>2362</v>
      </c>
      <c r="B1163" s="3" t="s">
        <v>720</v>
      </c>
      <c r="C1163" s="3" t="str">
        <f>"南托街道"</f>
        <v>南托街道</v>
      </c>
      <c r="D1163" s="3" t="str">
        <f>"牛角塘村"</f>
        <v>牛角塘村</v>
      </c>
      <c r="E1163" s="3" t="str">
        <f t="shared" si="462"/>
        <v>140</v>
      </c>
      <c r="F1163" s="3" t="str">
        <f t="shared" si="466"/>
        <v>0</v>
      </c>
      <c r="G1163" s="3" t="str">
        <f t="shared" ref="G1163:G1168" si="469">"三级"</f>
        <v>三级</v>
      </c>
    </row>
    <row r="1164" customHeight="1" spans="1:7">
      <c r="A1164" s="3" t="str">
        <f>"2363"</f>
        <v>2363</v>
      </c>
      <c r="B1164" s="3" t="s">
        <v>1634</v>
      </c>
      <c r="C1164" s="3" t="str">
        <f t="shared" si="467"/>
        <v>城南路街道</v>
      </c>
      <c r="D1164" s="3" t="str">
        <f>"古道巷社区"</f>
        <v>古道巷社区</v>
      </c>
      <c r="E1164" s="3" t="str">
        <f t="shared" si="462"/>
        <v>140</v>
      </c>
      <c r="F1164" s="3" t="str">
        <f t="shared" si="466"/>
        <v>0</v>
      </c>
      <c r="G1164" s="3" t="str">
        <f t="shared" si="468"/>
        <v>四级</v>
      </c>
    </row>
    <row r="1165" customHeight="1" spans="1:7">
      <c r="A1165" s="3" t="str">
        <f>"2364"</f>
        <v>2364</v>
      </c>
      <c r="B1165" s="3" t="s">
        <v>1635</v>
      </c>
      <c r="C1165" s="3" t="str">
        <f>"暮云街道"</f>
        <v>暮云街道</v>
      </c>
      <c r="D1165" s="3" t="str">
        <f>"许兴村"</f>
        <v>许兴村</v>
      </c>
      <c r="E1165" s="3" t="str">
        <f t="shared" si="462"/>
        <v>140</v>
      </c>
      <c r="F1165" s="3" t="str">
        <f t="shared" si="466"/>
        <v>0</v>
      </c>
      <c r="G1165" s="3" t="str">
        <f t="shared" si="468"/>
        <v>四级</v>
      </c>
    </row>
    <row r="1166" customHeight="1" spans="1:7">
      <c r="A1166" s="3" t="str">
        <f>"2365"</f>
        <v>2365</v>
      </c>
      <c r="B1166" s="3" t="s">
        <v>1636</v>
      </c>
      <c r="C1166" s="3" t="str">
        <f t="shared" si="467"/>
        <v>城南路街道</v>
      </c>
      <c r="D1166" s="3" t="str">
        <f>"古道巷社区"</f>
        <v>古道巷社区</v>
      </c>
      <c r="E1166" s="3" t="str">
        <f t="shared" si="462"/>
        <v>140</v>
      </c>
      <c r="F1166" s="3" t="str">
        <f t="shared" si="466"/>
        <v>0</v>
      </c>
      <c r="G1166" s="3" t="str">
        <f t="shared" si="469"/>
        <v>三级</v>
      </c>
    </row>
    <row r="1167" customHeight="1" spans="1:7">
      <c r="A1167" s="3" t="str">
        <f>"2366"</f>
        <v>2366</v>
      </c>
      <c r="B1167" s="3" t="s">
        <v>1637</v>
      </c>
      <c r="C1167" s="3" t="str">
        <f t="shared" ref="C1167:C1169" si="470">"青园街道"</f>
        <v>青园街道</v>
      </c>
      <c r="D1167" s="3" t="str">
        <f t="shared" ref="D1167:D1169" si="471">"青园社区"</f>
        <v>青园社区</v>
      </c>
      <c r="E1167" s="3" t="str">
        <f t="shared" si="462"/>
        <v>140</v>
      </c>
      <c r="F1167" s="3" t="str">
        <f t="shared" si="466"/>
        <v>0</v>
      </c>
      <c r="G1167" s="3" t="str">
        <f>"四级"</f>
        <v>四级</v>
      </c>
    </row>
    <row r="1168" customHeight="1" spans="1:7">
      <c r="A1168" s="3" t="str">
        <f>"2367"</f>
        <v>2367</v>
      </c>
      <c r="B1168" s="3" t="s">
        <v>1638</v>
      </c>
      <c r="C1168" s="3" t="str">
        <f t="shared" si="470"/>
        <v>青园街道</v>
      </c>
      <c r="D1168" s="3" t="str">
        <f t="shared" si="471"/>
        <v>青园社区</v>
      </c>
      <c r="E1168" s="3" t="str">
        <f t="shared" si="462"/>
        <v>140</v>
      </c>
      <c r="F1168" s="3" t="str">
        <f t="shared" si="466"/>
        <v>0</v>
      </c>
      <c r="G1168" s="3" t="str">
        <f t="shared" si="469"/>
        <v>三级</v>
      </c>
    </row>
    <row r="1169" customHeight="1" spans="1:7">
      <c r="A1169" s="3" t="str">
        <f>"2368"</f>
        <v>2368</v>
      </c>
      <c r="B1169" s="3" t="s">
        <v>1639</v>
      </c>
      <c r="C1169" s="3" t="str">
        <f t="shared" si="470"/>
        <v>青园街道</v>
      </c>
      <c r="D1169" s="3" t="str">
        <f t="shared" si="471"/>
        <v>青园社区</v>
      </c>
      <c r="E1169" s="3" t="str">
        <f t="shared" si="462"/>
        <v>140</v>
      </c>
      <c r="F1169" s="3" t="str">
        <f t="shared" si="466"/>
        <v>0</v>
      </c>
      <c r="G1169" s="3" t="str">
        <f>"四级"</f>
        <v>四级</v>
      </c>
    </row>
    <row r="1170" customHeight="1" spans="1:7">
      <c r="A1170" s="3" t="str">
        <f>"2369"</f>
        <v>2369</v>
      </c>
      <c r="B1170" s="3" t="s">
        <v>1640</v>
      </c>
      <c r="C1170" s="3" t="str">
        <f>"金盆岭街道"</f>
        <v>金盆岭街道</v>
      </c>
      <c r="D1170" s="3" t="str">
        <f>"天剑社区"</f>
        <v>天剑社区</v>
      </c>
      <c r="E1170" s="3" t="str">
        <f t="shared" si="462"/>
        <v>140</v>
      </c>
      <c r="F1170" s="3" t="str">
        <f t="shared" si="466"/>
        <v>0</v>
      </c>
      <c r="G1170" s="3" t="str">
        <f>"三级"</f>
        <v>三级</v>
      </c>
    </row>
    <row r="1171" customHeight="1" spans="1:7">
      <c r="A1171" s="3" t="str">
        <f>"2370"</f>
        <v>2370</v>
      </c>
      <c r="B1171" s="3" t="s">
        <v>800</v>
      </c>
      <c r="C1171" s="3" t="str">
        <f t="shared" ref="C1171:C1173" si="472">"坡子街街道"</f>
        <v>坡子街街道</v>
      </c>
      <c r="D1171" s="3" t="str">
        <f>"登仁桥社区"</f>
        <v>登仁桥社区</v>
      </c>
      <c r="E1171" s="3" t="str">
        <f t="shared" si="462"/>
        <v>140</v>
      </c>
      <c r="F1171" s="3" t="str">
        <f t="shared" ref="F1171:F1188" si="473">"100"</f>
        <v>100</v>
      </c>
      <c r="G1171" s="3" t="str">
        <f t="shared" ref="G1171:G1176" si="474">"二级"</f>
        <v>二级</v>
      </c>
    </row>
    <row r="1172" customHeight="1" spans="1:7">
      <c r="A1172" s="3" t="str">
        <f>"2371"</f>
        <v>2371</v>
      </c>
      <c r="B1172" s="3" t="s">
        <v>1641</v>
      </c>
      <c r="C1172" s="3" t="str">
        <f t="shared" si="472"/>
        <v>坡子街街道</v>
      </c>
      <c r="D1172" s="3" t="str">
        <f>"登仁桥社区"</f>
        <v>登仁桥社区</v>
      </c>
      <c r="E1172" s="3" t="str">
        <f t="shared" si="462"/>
        <v>140</v>
      </c>
      <c r="F1172" s="3" t="str">
        <f t="shared" si="473"/>
        <v>100</v>
      </c>
      <c r="G1172" s="3" t="str">
        <f t="shared" ref="G1172:G1174" si="475">"一级"</f>
        <v>一级</v>
      </c>
    </row>
    <row r="1173" customHeight="1" spans="1:7">
      <c r="A1173" s="3" t="str">
        <f>"2372"</f>
        <v>2372</v>
      </c>
      <c r="B1173" s="3" t="s">
        <v>1642</v>
      </c>
      <c r="C1173" s="3" t="str">
        <f t="shared" si="472"/>
        <v>坡子街街道</v>
      </c>
      <c r="D1173" s="3" t="str">
        <f>"楚湘社区"</f>
        <v>楚湘社区</v>
      </c>
      <c r="E1173" s="3" t="str">
        <f t="shared" si="462"/>
        <v>140</v>
      </c>
      <c r="F1173" s="3" t="str">
        <f t="shared" si="473"/>
        <v>100</v>
      </c>
      <c r="G1173" s="3" t="str">
        <f t="shared" si="475"/>
        <v>一级</v>
      </c>
    </row>
    <row r="1174" customHeight="1" spans="1:7">
      <c r="A1174" s="3" t="str">
        <f>"2373"</f>
        <v>2373</v>
      </c>
      <c r="B1174" s="3" t="s">
        <v>717</v>
      </c>
      <c r="C1174" s="3" t="str">
        <f t="shared" ref="C1174:C1176" si="476">"赤岭路街道"</f>
        <v>赤岭路街道</v>
      </c>
      <c r="D1174" s="3" t="str">
        <f t="shared" ref="D1174:D1176" si="477">"广厦新村社区"</f>
        <v>广厦新村社区</v>
      </c>
      <c r="E1174" s="3" t="str">
        <f t="shared" si="462"/>
        <v>140</v>
      </c>
      <c r="F1174" s="3" t="str">
        <f t="shared" si="473"/>
        <v>100</v>
      </c>
      <c r="G1174" s="3" t="str">
        <f t="shared" si="475"/>
        <v>一级</v>
      </c>
    </row>
    <row r="1175" customHeight="1" spans="1:7">
      <c r="A1175" s="3" t="str">
        <f>"2374"</f>
        <v>2374</v>
      </c>
      <c r="B1175" s="3" t="s">
        <v>112</v>
      </c>
      <c r="C1175" s="3" t="str">
        <f t="shared" si="476"/>
        <v>赤岭路街道</v>
      </c>
      <c r="D1175" s="3" t="str">
        <f t="shared" si="477"/>
        <v>广厦新村社区</v>
      </c>
      <c r="E1175" s="3" t="str">
        <f t="shared" si="462"/>
        <v>140</v>
      </c>
      <c r="F1175" s="3" t="str">
        <f t="shared" si="473"/>
        <v>100</v>
      </c>
      <c r="G1175" s="3" t="str">
        <f t="shared" si="474"/>
        <v>二级</v>
      </c>
    </row>
    <row r="1176" customHeight="1" spans="1:7">
      <c r="A1176" s="3" t="str">
        <f>"2375"</f>
        <v>2375</v>
      </c>
      <c r="B1176" s="3" t="s">
        <v>1643</v>
      </c>
      <c r="C1176" s="3" t="str">
        <f t="shared" si="476"/>
        <v>赤岭路街道</v>
      </c>
      <c r="D1176" s="3" t="str">
        <f t="shared" si="477"/>
        <v>广厦新村社区</v>
      </c>
      <c r="E1176" s="3" t="str">
        <f t="shared" si="462"/>
        <v>140</v>
      </c>
      <c r="F1176" s="3" t="str">
        <f t="shared" si="473"/>
        <v>100</v>
      </c>
      <c r="G1176" s="3" t="str">
        <f t="shared" si="474"/>
        <v>二级</v>
      </c>
    </row>
    <row r="1177" customHeight="1" spans="1:7">
      <c r="A1177" s="3" t="str">
        <f>"2376"</f>
        <v>2376</v>
      </c>
      <c r="B1177" s="3" t="s">
        <v>126</v>
      </c>
      <c r="C1177" s="3" t="str">
        <f>"坡子街街道"</f>
        <v>坡子街街道</v>
      </c>
      <c r="D1177" s="3" t="str">
        <f>"文庙坪社区"</f>
        <v>文庙坪社区</v>
      </c>
      <c r="E1177" s="3" t="str">
        <f t="shared" si="462"/>
        <v>140</v>
      </c>
      <c r="F1177" s="3" t="str">
        <f t="shared" si="473"/>
        <v>100</v>
      </c>
      <c r="G1177" s="3" t="str">
        <f t="shared" ref="G1177:G1180" si="478">"一级"</f>
        <v>一级</v>
      </c>
    </row>
    <row r="1178" customHeight="1" spans="1:7">
      <c r="A1178" s="3" t="str">
        <f>"2377"</f>
        <v>2377</v>
      </c>
      <c r="B1178" s="3" t="s">
        <v>1644</v>
      </c>
      <c r="C1178" s="3" t="str">
        <f>"金盆岭街道"</f>
        <v>金盆岭街道</v>
      </c>
      <c r="D1178" s="3" t="str">
        <f>"狮子山社区"</f>
        <v>狮子山社区</v>
      </c>
      <c r="E1178" s="3" t="str">
        <f t="shared" si="462"/>
        <v>140</v>
      </c>
      <c r="F1178" s="3" t="str">
        <f t="shared" si="473"/>
        <v>100</v>
      </c>
      <c r="G1178" s="3" t="str">
        <f t="shared" ref="G1178:G1182" si="479">"二级"</f>
        <v>二级</v>
      </c>
    </row>
    <row r="1179" customHeight="1" spans="1:7">
      <c r="A1179" s="3" t="str">
        <f>"2378"</f>
        <v>2378</v>
      </c>
      <c r="B1179" s="3" t="s">
        <v>374</v>
      </c>
      <c r="C1179" s="3" t="str">
        <f>"坡子街街道"</f>
        <v>坡子街街道</v>
      </c>
      <c r="D1179" s="3" t="str">
        <f>"碧湘社区"</f>
        <v>碧湘社区</v>
      </c>
      <c r="E1179" s="3" t="str">
        <f t="shared" si="462"/>
        <v>140</v>
      </c>
      <c r="F1179" s="3" t="str">
        <f t="shared" si="473"/>
        <v>100</v>
      </c>
      <c r="G1179" s="3" t="str">
        <f t="shared" si="478"/>
        <v>一级</v>
      </c>
    </row>
    <row r="1180" customHeight="1" spans="1:7">
      <c r="A1180" s="3" t="str">
        <f>"2379"</f>
        <v>2379</v>
      </c>
      <c r="B1180" s="3" t="s">
        <v>281</v>
      </c>
      <c r="C1180" s="3" t="str">
        <f>"黑石铺街道"</f>
        <v>黑石铺街道</v>
      </c>
      <c r="D1180" s="3" t="str">
        <f>"黑石铺社区"</f>
        <v>黑石铺社区</v>
      </c>
      <c r="E1180" s="3" t="str">
        <f t="shared" si="462"/>
        <v>140</v>
      </c>
      <c r="F1180" s="3" t="str">
        <f t="shared" si="473"/>
        <v>100</v>
      </c>
      <c r="G1180" s="3" t="str">
        <f t="shared" si="478"/>
        <v>一级</v>
      </c>
    </row>
    <row r="1181" customHeight="1" spans="1:7">
      <c r="A1181" s="3" t="str">
        <f>"2380"</f>
        <v>2380</v>
      </c>
      <c r="B1181" s="3" t="s">
        <v>256</v>
      </c>
      <c r="C1181" s="3" t="str">
        <f>"城南路街道"</f>
        <v>城南路街道</v>
      </c>
      <c r="D1181" s="3" t="str">
        <f>"熙台岭社区"</f>
        <v>熙台岭社区</v>
      </c>
      <c r="E1181" s="3" t="str">
        <f t="shared" si="462"/>
        <v>140</v>
      </c>
      <c r="F1181" s="3" t="str">
        <f t="shared" si="473"/>
        <v>100</v>
      </c>
      <c r="G1181" s="3" t="str">
        <f t="shared" si="479"/>
        <v>二级</v>
      </c>
    </row>
    <row r="1182" customHeight="1" spans="1:7">
      <c r="A1182" s="3" t="str">
        <f>"2381"</f>
        <v>2381</v>
      </c>
      <c r="B1182" s="3" t="s">
        <v>1645</v>
      </c>
      <c r="C1182" s="3" t="str">
        <f t="shared" ref="C1182:C1186" si="480">"新开铺街道"</f>
        <v>新开铺街道</v>
      </c>
      <c r="D1182" s="3" t="str">
        <f>"木莲社区"</f>
        <v>木莲社区</v>
      </c>
      <c r="E1182" s="3" t="str">
        <f t="shared" si="462"/>
        <v>140</v>
      </c>
      <c r="F1182" s="3" t="str">
        <f t="shared" si="473"/>
        <v>100</v>
      </c>
      <c r="G1182" s="3" t="str">
        <f t="shared" si="479"/>
        <v>二级</v>
      </c>
    </row>
    <row r="1183" customHeight="1" spans="1:7">
      <c r="A1183" s="3" t="str">
        <f>"2382"</f>
        <v>2382</v>
      </c>
      <c r="B1183" s="3" t="s">
        <v>1646</v>
      </c>
      <c r="C1183" s="3" t="str">
        <f>"坡子街街道"</f>
        <v>坡子街街道</v>
      </c>
      <c r="D1183" s="3" t="str">
        <f>"楚湘社区"</f>
        <v>楚湘社区</v>
      </c>
      <c r="E1183" s="3" t="str">
        <f t="shared" si="462"/>
        <v>140</v>
      </c>
      <c r="F1183" s="3" t="str">
        <f t="shared" si="473"/>
        <v>100</v>
      </c>
      <c r="G1183" s="3" t="str">
        <f t="shared" ref="G1183:G1187" si="481">"一级"</f>
        <v>一级</v>
      </c>
    </row>
    <row r="1184" customHeight="1" spans="1:7">
      <c r="A1184" s="3" t="str">
        <f>"2383"</f>
        <v>2383</v>
      </c>
      <c r="B1184" s="3" t="s">
        <v>1647</v>
      </c>
      <c r="C1184" s="3" t="str">
        <f>"金盆岭街道"</f>
        <v>金盆岭街道</v>
      </c>
      <c r="D1184" s="3" t="str">
        <f>"赤岭路社区"</f>
        <v>赤岭路社区</v>
      </c>
      <c r="E1184" s="3" t="str">
        <f t="shared" si="462"/>
        <v>140</v>
      </c>
      <c r="F1184" s="3" t="str">
        <f t="shared" si="473"/>
        <v>100</v>
      </c>
      <c r="G1184" s="3" t="str">
        <f t="shared" si="481"/>
        <v>一级</v>
      </c>
    </row>
    <row r="1185" customHeight="1" spans="1:7">
      <c r="A1185" s="3" t="str">
        <f>"2384"</f>
        <v>2384</v>
      </c>
      <c r="B1185" s="3" t="s">
        <v>146</v>
      </c>
      <c r="C1185" s="3" t="str">
        <f t="shared" si="480"/>
        <v>新开铺街道</v>
      </c>
      <c r="D1185" s="3" t="str">
        <f>"豹子岭社区"</f>
        <v>豹子岭社区</v>
      </c>
      <c r="E1185" s="3" t="str">
        <f t="shared" si="462"/>
        <v>140</v>
      </c>
      <c r="F1185" s="3" t="str">
        <f t="shared" si="473"/>
        <v>100</v>
      </c>
      <c r="G1185" s="3" t="str">
        <f t="shared" ref="G1185:G1188" si="482">"二级"</f>
        <v>二级</v>
      </c>
    </row>
    <row r="1186" customHeight="1" spans="1:7">
      <c r="A1186" s="3" t="str">
        <f>"2385"</f>
        <v>2385</v>
      </c>
      <c r="B1186" s="3" t="s">
        <v>1648</v>
      </c>
      <c r="C1186" s="3" t="str">
        <f t="shared" si="480"/>
        <v>新开铺街道</v>
      </c>
      <c r="D1186" s="3" t="str">
        <f>"豹子岭社区"</f>
        <v>豹子岭社区</v>
      </c>
      <c r="E1186" s="3" t="str">
        <f t="shared" si="462"/>
        <v>140</v>
      </c>
      <c r="F1186" s="3" t="str">
        <f t="shared" si="473"/>
        <v>100</v>
      </c>
      <c r="G1186" s="3" t="str">
        <f t="shared" si="482"/>
        <v>二级</v>
      </c>
    </row>
    <row r="1187" customHeight="1" spans="1:7">
      <c r="A1187" s="3" t="str">
        <f>"2386"</f>
        <v>2386</v>
      </c>
      <c r="B1187" s="3" t="s">
        <v>1649</v>
      </c>
      <c r="C1187" s="3" t="str">
        <f>"赤岭路街道"</f>
        <v>赤岭路街道</v>
      </c>
      <c r="D1187" s="3" t="str">
        <f>"芙蓉南路社区"</f>
        <v>芙蓉南路社区</v>
      </c>
      <c r="E1187" s="3" t="str">
        <f t="shared" si="462"/>
        <v>140</v>
      </c>
      <c r="F1187" s="3" t="str">
        <f t="shared" si="473"/>
        <v>100</v>
      </c>
      <c r="G1187" s="3" t="str">
        <f t="shared" si="481"/>
        <v>一级</v>
      </c>
    </row>
    <row r="1188" customHeight="1" spans="1:7">
      <c r="A1188" s="3" t="str">
        <f>"2387"</f>
        <v>2387</v>
      </c>
      <c r="B1188" s="3" t="s">
        <v>1650</v>
      </c>
      <c r="C1188" s="3" t="str">
        <f>"坡子街街道"</f>
        <v>坡子街街道</v>
      </c>
      <c r="D1188" s="3" t="str">
        <f>"碧湘社区"</f>
        <v>碧湘社区</v>
      </c>
      <c r="E1188" s="3" t="str">
        <f t="shared" si="462"/>
        <v>140</v>
      </c>
      <c r="F1188" s="3" t="str">
        <f t="shared" si="473"/>
        <v>100</v>
      </c>
      <c r="G1188" s="3" t="str">
        <f t="shared" si="482"/>
        <v>二级</v>
      </c>
    </row>
    <row r="1189" customHeight="1" spans="1:7">
      <c r="A1189" s="3" t="str">
        <f>"2388"</f>
        <v>2388</v>
      </c>
      <c r="B1189" s="3" t="s">
        <v>428</v>
      </c>
      <c r="C1189" s="3" t="str">
        <f>"赤岭路街道"</f>
        <v>赤岭路街道</v>
      </c>
      <c r="D1189" s="3" t="str">
        <f>"猴子石社区"</f>
        <v>猴子石社区</v>
      </c>
      <c r="E1189" s="3" t="str">
        <f t="shared" si="462"/>
        <v>140</v>
      </c>
      <c r="F1189" s="3" t="str">
        <f>"0"</f>
        <v>0</v>
      </c>
      <c r="G1189" s="3" t="str">
        <f>"四级"</f>
        <v>四级</v>
      </c>
    </row>
    <row r="1190" customHeight="1" spans="1:7">
      <c r="A1190" s="3" t="str">
        <f>"2389"</f>
        <v>2389</v>
      </c>
      <c r="B1190" s="3" t="s">
        <v>1651</v>
      </c>
      <c r="C1190" s="3" t="str">
        <f>"城南路街道"</f>
        <v>城南路街道</v>
      </c>
      <c r="D1190" s="3" t="str">
        <f>"熙台岭社区"</f>
        <v>熙台岭社区</v>
      </c>
      <c r="E1190" s="3" t="str">
        <f t="shared" si="462"/>
        <v>140</v>
      </c>
      <c r="F1190" s="3" t="str">
        <f t="shared" ref="F1190:F1201" si="483">"100"</f>
        <v>100</v>
      </c>
      <c r="G1190" s="3" t="str">
        <f t="shared" ref="G1190:G1192" si="484">"二级"</f>
        <v>二级</v>
      </c>
    </row>
    <row r="1191" customHeight="1" spans="1:7">
      <c r="A1191" s="3" t="str">
        <f>"2390"</f>
        <v>2390</v>
      </c>
      <c r="B1191" s="3" t="s">
        <v>1652</v>
      </c>
      <c r="C1191" s="3" t="str">
        <f>"城南路街道"</f>
        <v>城南路街道</v>
      </c>
      <c r="D1191" s="3" t="str">
        <f>"熙台岭社区"</f>
        <v>熙台岭社区</v>
      </c>
      <c r="E1191" s="3" t="str">
        <f t="shared" si="462"/>
        <v>140</v>
      </c>
      <c r="F1191" s="3" t="str">
        <f t="shared" si="483"/>
        <v>100</v>
      </c>
      <c r="G1191" s="3" t="str">
        <f t="shared" si="484"/>
        <v>二级</v>
      </c>
    </row>
    <row r="1192" customHeight="1" spans="1:7">
      <c r="A1192" s="3" t="str">
        <f>"2391"</f>
        <v>2391</v>
      </c>
      <c r="B1192" s="3" t="s">
        <v>1653</v>
      </c>
      <c r="C1192" s="3" t="str">
        <f>"新开铺街道"</f>
        <v>新开铺街道</v>
      </c>
      <c r="D1192" s="3" t="str">
        <f>"新开铺社区"</f>
        <v>新开铺社区</v>
      </c>
      <c r="E1192" s="3" t="str">
        <f t="shared" si="462"/>
        <v>140</v>
      </c>
      <c r="F1192" s="3" t="str">
        <f t="shared" si="483"/>
        <v>100</v>
      </c>
      <c r="G1192" s="3" t="str">
        <f t="shared" si="484"/>
        <v>二级</v>
      </c>
    </row>
    <row r="1193" customHeight="1" spans="1:7">
      <c r="A1193" s="3" t="str">
        <f>"2392"</f>
        <v>2392</v>
      </c>
      <c r="B1193" s="3" t="s">
        <v>1654</v>
      </c>
      <c r="C1193" s="3" t="str">
        <f>"坡子街街道"</f>
        <v>坡子街街道</v>
      </c>
      <c r="D1193" s="3" t="str">
        <f>"西湖社区"</f>
        <v>西湖社区</v>
      </c>
      <c r="E1193" s="3" t="str">
        <f t="shared" si="462"/>
        <v>140</v>
      </c>
      <c r="F1193" s="3" t="str">
        <f t="shared" si="483"/>
        <v>100</v>
      </c>
      <c r="G1193" s="3" t="str">
        <f t="shared" ref="G1193:G1196" si="485">"一级"</f>
        <v>一级</v>
      </c>
    </row>
    <row r="1194" customHeight="1" spans="1:7">
      <c r="A1194" s="3" t="str">
        <f>"2393"</f>
        <v>2393</v>
      </c>
      <c r="B1194" s="3" t="s">
        <v>1655</v>
      </c>
      <c r="C1194" s="3" t="str">
        <f t="shared" ref="C1194:C1199" si="486">"裕南街街道"</f>
        <v>裕南街街道</v>
      </c>
      <c r="D1194" s="3" t="str">
        <f>"向东南社区"</f>
        <v>向东南社区</v>
      </c>
      <c r="E1194" s="3" t="str">
        <f t="shared" si="462"/>
        <v>140</v>
      </c>
      <c r="F1194" s="3" t="str">
        <f t="shared" si="483"/>
        <v>100</v>
      </c>
      <c r="G1194" s="3" t="str">
        <f t="shared" ref="G1194:G1201" si="487">"二级"</f>
        <v>二级</v>
      </c>
    </row>
    <row r="1195" customHeight="1" spans="1:7">
      <c r="A1195" s="3" t="str">
        <f>"2394"</f>
        <v>2394</v>
      </c>
      <c r="B1195" s="3" t="s">
        <v>1469</v>
      </c>
      <c r="C1195" s="3" t="str">
        <f>"新开铺街道"</f>
        <v>新开铺街道</v>
      </c>
      <c r="D1195" s="3" t="str">
        <f>"木莲社区"</f>
        <v>木莲社区</v>
      </c>
      <c r="E1195" s="3" t="str">
        <f t="shared" si="462"/>
        <v>140</v>
      </c>
      <c r="F1195" s="3" t="str">
        <f t="shared" si="483"/>
        <v>100</v>
      </c>
      <c r="G1195" s="3" t="str">
        <f t="shared" si="485"/>
        <v>一级</v>
      </c>
    </row>
    <row r="1196" customHeight="1" spans="1:7">
      <c r="A1196" s="3" t="str">
        <f>"2395"</f>
        <v>2395</v>
      </c>
      <c r="B1196" s="3" t="s">
        <v>139</v>
      </c>
      <c r="C1196" s="3" t="str">
        <f t="shared" si="486"/>
        <v>裕南街街道</v>
      </c>
      <c r="D1196" s="3" t="str">
        <f>"向东南社区"</f>
        <v>向东南社区</v>
      </c>
      <c r="E1196" s="3" t="str">
        <f t="shared" si="462"/>
        <v>140</v>
      </c>
      <c r="F1196" s="3" t="str">
        <f t="shared" si="483"/>
        <v>100</v>
      </c>
      <c r="G1196" s="3" t="str">
        <f t="shared" si="485"/>
        <v>一级</v>
      </c>
    </row>
    <row r="1197" customHeight="1" spans="1:7">
      <c r="A1197" s="3" t="str">
        <f>"2396"</f>
        <v>2396</v>
      </c>
      <c r="B1197" s="3" t="s">
        <v>749</v>
      </c>
      <c r="C1197" s="3" t="str">
        <f>"坡子街街道"</f>
        <v>坡子街街道</v>
      </c>
      <c r="D1197" s="3" t="str">
        <f>"碧湘社区"</f>
        <v>碧湘社区</v>
      </c>
      <c r="E1197" s="3" t="str">
        <f t="shared" si="462"/>
        <v>140</v>
      </c>
      <c r="F1197" s="3" t="str">
        <f t="shared" si="483"/>
        <v>100</v>
      </c>
      <c r="G1197" s="3" t="str">
        <f t="shared" si="487"/>
        <v>二级</v>
      </c>
    </row>
    <row r="1198" customHeight="1" spans="1:7">
      <c r="A1198" s="3" t="str">
        <f>"2397"</f>
        <v>2397</v>
      </c>
      <c r="B1198" s="3" t="s">
        <v>1656</v>
      </c>
      <c r="C1198" s="3" t="str">
        <f>"暮云街道"</f>
        <v>暮云街道</v>
      </c>
      <c r="D1198" s="3" t="str">
        <f>"华月湖社区"</f>
        <v>华月湖社区</v>
      </c>
      <c r="E1198" s="3" t="str">
        <f t="shared" si="462"/>
        <v>140</v>
      </c>
      <c r="F1198" s="3" t="str">
        <f t="shared" si="483"/>
        <v>100</v>
      </c>
      <c r="G1198" s="3" t="str">
        <f t="shared" si="487"/>
        <v>二级</v>
      </c>
    </row>
    <row r="1199" customHeight="1" spans="1:7">
      <c r="A1199" s="3" t="str">
        <f>"2398"</f>
        <v>2398</v>
      </c>
      <c r="B1199" s="3" t="s">
        <v>1657</v>
      </c>
      <c r="C1199" s="3" t="str">
        <f t="shared" si="486"/>
        <v>裕南街街道</v>
      </c>
      <c r="D1199" s="3" t="str">
        <f>"宝塔山社区"</f>
        <v>宝塔山社区</v>
      </c>
      <c r="E1199" s="3" t="str">
        <f t="shared" si="462"/>
        <v>140</v>
      </c>
      <c r="F1199" s="3" t="str">
        <f t="shared" si="483"/>
        <v>100</v>
      </c>
      <c r="G1199" s="3" t="str">
        <f t="shared" si="487"/>
        <v>二级</v>
      </c>
    </row>
    <row r="1200" customHeight="1" spans="1:7">
      <c r="A1200" s="3" t="str">
        <f>"2399"</f>
        <v>2399</v>
      </c>
      <c r="B1200" s="3" t="s">
        <v>1658</v>
      </c>
      <c r="C1200" s="3" t="str">
        <f>"城南路街道"</f>
        <v>城南路街道</v>
      </c>
      <c r="D1200" s="3" t="str">
        <f>"熙台岭社区"</f>
        <v>熙台岭社区</v>
      </c>
      <c r="E1200" s="3" t="str">
        <f t="shared" si="462"/>
        <v>140</v>
      </c>
      <c r="F1200" s="3" t="str">
        <f t="shared" si="483"/>
        <v>100</v>
      </c>
      <c r="G1200" s="3" t="str">
        <f t="shared" si="487"/>
        <v>二级</v>
      </c>
    </row>
    <row r="1201" customHeight="1" spans="1:7">
      <c r="A1201" s="3" t="str">
        <f>"2400"</f>
        <v>2400</v>
      </c>
      <c r="B1201" s="3" t="s">
        <v>1659</v>
      </c>
      <c r="C1201" s="3" t="str">
        <f>"大托铺街道"</f>
        <v>大托铺街道</v>
      </c>
      <c r="D1201" s="3" t="str">
        <f>"兴隆村委会"</f>
        <v>兴隆村委会</v>
      </c>
      <c r="E1201" s="3" t="str">
        <f t="shared" si="462"/>
        <v>140</v>
      </c>
      <c r="F1201" s="3" t="str">
        <f t="shared" si="483"/>
        <v>100</v>
      </c>
      <c r="G1201" s="3" t="str">
        <f t="shared" si="487"/>
        <v>二级</v>
      </c>
    </row>
    <row r="1202" customHeight="1" spans="2:7">
      <c r="B1202" s="4"/>
      <c r="C1202" s="4"/>
      <c r="D1202" s="4"/>
      <c r="E1202" s="4"/>
      <c r="F1202" s="4"/>
      <c r="G1202" s="4"/>
    </row>
  </sheetData>
  <mergeCells count="2">
    <mergeCell ref="A1:G1"/>
    <mergeCell ref="L4:R4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201"/>
  <sheetViews>
    <sheetView workbookViewId="0">
      <selection activeCell="I4" sqref="I4"/>
    </sheetView>
  </sheetViews>
  <sheetFormatPr defaultColWidth="9" defaultRowHeight="19.95" customHeight="1"/>
  <cols>
    <col min="1" max="1" width="9.9" style="1" customWidth="1"/>
    <col min="2" max="2" width="9.3" style="1" customWidth="1"/>
    <col min="3" max="3" width="15.7" style="1" customWidth="1"/>
    <col min="4" max="4" width="12" style="1" customWidth="1"/>
    <col min="5" max="16384" width="8.8" style="1"/>
  </cols>
  <sheetData>
    <row r="1" ht="39" customHeight="1" spans="1:7">
      <c r="A1" s="2" t="s">
        <v>1660</v>
      </c>
      <c r="B1" s="2"/>
      <c r="C1" s="2"/>
      <c r="D1" s="2"/>
      <c r="E1" s="2"/>
      <c r="F1" s="2"/>
      <c r="G1" s="2"/>
    </row>
    <row r="2" customHeight="1" spans="1:7">
      <c r="A2" s="3" t="str">
        <f>"2401"</f>
        <v>2401</v>
      </c>
      <c r="B2" s="3" t="s">
        <v>1661</v>
      </c>
      <c r="C2" s="3" t="str">
        <f>"大托铺街道"</f>
        <v>大托铺街道</v>
      </c>
      <c r="D2" s="3" t="str">
        <f>"兴隆村委会"</f>
        <v>兴隆村委会</v>
      </c>
      <c r="E2" s="3" t="str">
        <f t="shared" ref="E2:E65" si="0">"140"</f>
        <v>140</v>
      </c>
      <c r="F2" s="3" t="str">
        <f t="shared" ref="F2:F15" si="1">"100"</f>
        <v>100</v>
      </c>
      <c r="G2" s="3" t="str">
        <f t="shared" ref="G2:G8" si="2">"二级"</f>
        <v>二级</v>
      </c>
    </row>
    <row r="3" customHeight="1" spans="1:7">
      <c r="A3" s="3" t="str">
        <f>"2402"</f>
        <v>2402</v>
      </c>
      <c r="B3" s="3" t="s">
        <v>1662</v>
      </c>
      <c r="C3" s="3" t="str">
        <f>"大托铺街道"</f>
        <v>大托铺街道</v>
      </c>
      <c r="D3" s="3" t="str">
        <f>"黄合村委会"</f>
        <v>黄合村委会</v>
      </c>
      <c r="E3" s="3" t="str">
        <f t="shared" si="0"/>
        <v>140</v>
      </c>
      <c r="F3" s="3" t="str">
        <f t="shared" si="1"/>
        <v>100</v>
      </c>
      <c r="G3" s="3" t="str">
        <f t="shared" si="2"/>
        <v>二级</v>
      </c>
    </row>
    <row r="4" customHeight="1" spans="1:16">
      <c r="A4" s="3" t="str">
        <f>"2403"</f>
        <v>2403</v>
      </c>
      <c r="B4" s="3" t="s">
        <v>1663</v>
      </c>
      <c r="C4" s="3" t="str">
        <f>"大托铺街道"</f>
        <v>大托铺街道</v>
      </c>
      <c r="D4" s="3" t="str">
        <f>"大托村委会"</f>
        <v>大托村委会</v>
      </c>
      <c r="E4" s="3" t="str">
        <f t="shared" si="0"/>
        <v>140</v>
      </c>
      <c r="F4" s="3" t="str">
        <f t="shared" si="1"/>
        <v>100</v>
      </c>
      <c r="G4" s="3" t="str">
        <f t="shared" si="2"/>
        <v>二级</v>
      </c>
      <c r="J4" s="5"/>
      <c r="K4" s="5"/>
      <c r="L4" s="5"/>
      <c r="M4" s="5"/>
      <c r="N4" s="5"/>
      <c r="O4" s="5"/>
      <c r="P4" s="5"/>
    </row>
    <row r="5" customHeight="1" spans="1:7">
      <c r="A5" s="3" t="str">
        <f>"2404"</f>
        <v>2404</v>
      </c>
      <c r="B5" s="3" t="s">
        <v>1664</v>
      </c>
      <c r="C5" s="3" t="str">
        <f t="shared" ref="C5:C9" si="3">"南托街道"</f>
        <v>南托街道</v>
      </c>
      <c r="D5" s="3" t="str">
        <f>"北塘社区"</f>
        <v>北塘社区</v>
      </c>
      <c r="E5" s="3" t="str">
        <f t="shared" si="0"/>
        <v>140</v>
      </c>
      <c r="F5" s="3" t="str">
        <f t="shared" si="1"/>
        <v>100</v>
      </c>
      <c r="G5" s="3" t="str">
        <f t="shared" si="2"/>
        <v>二级</v>
      </c>
    </row>
    <row r="6" customHeight="1" spans="1:7">
      <c r="A6" s="3" t="str">
        <f>"2405"</f>
        <v>2405</v>
      </c>
      <c r="B6" s="3" t="s">
        <v>605</v>
      </c>
      <c r="C6" s="3" t="str">
        <f>"文源街道"</f>
        <v>文源街道</v>
      </c>
      <c r="D6" s="3" t="str">
        <f>"天鸿社区"</f>
        <v>天鸿社区</v>
      </c>
      <c r="E6" s="3" t="str">
        <f t="shared" si="0"/>
        <v>140</v>
      </c>
      <c r="F6" s="3" t="str">
        <f t="shared" si="1"/>
        <v>100</v>
      </c>
      <c r="G6" s="3" t="str">
        <f t="shared" ref="G6:G10" si="4">"一级"</f>
        <v>一级</v>
      </c>
    </row>
    <row r="7" customHeight="1" spans="1:7">
      <c r="A7" s="3" t="str">
        <f>"2406"</f>
        <v>2406</v>
      </c>
      <c r="B7" s="3" t="s">
        <v>558</v>
      </c>
      <c r="C7" s="3" t="str">
        <f>"坡子街街道"</f>
        <v>坡子街街道</v>
      </c>
      <c r="D7" s="3" t="str">
        <f>"坡子街社区"</f>
        <v>坡子街社区</v>
      </c>
      <c r="E7" s="3" t="str">
        <f t="shared" si="0"/>
        <v>140</v>
      </c>
      <c r="F7" s="3" t="str">
        <f t="shared" si="1"/>
        <v>100</v>
      </c>
      <c r="G7" s="3" t="str">
        <f t="shared" si="2"/>
        <v>二级</v>
      </c>
    </row>
    <row r="8" customHeight="1" spans="1:7">
      <c r="A8" s="3" t="str">
        <f>"2407"</f>
        <v>2407</v>
      </c>
      <c r="B8" s="3" t="s">
        <v>15</v>
      </c>
      <c r="C8" s="3" t="str">
        <f t="shared" si="3"/>
        <v>南托街道</v>
      </c>
      <c r="D8" s="3" t="str">
        <f>"融城社区"</f>
        <v>融城社区</v>
      </c>
      <c r="E8" s="3" t="str">
        <f t="shared" si="0"/>
        <v>140</v>
      </c>
      <c r="F8" s="3" t="str">
        <f t="shared" si="1"/>
        <v>100</v>
      </c>
      <c r="G8" s="3" t="str">
        <f t="shared" si="2"/>
        <v>二级</v>
      </c>
    </row>
    <row r="9" customHeight="1" spans="1:7">
      <c r="A9" s="3" t="str">
        <f>"2408"</f>
        <v>2408</v>
      </c>
      <c r="B9" s="3" t="s">
        <v>1665</v>
      </c>
      <c r="C9" s="3" t="str">
        <f t="shared" si="3"/>
        <v>南托街道</v>
      </c>
      <c r="D9" s="3" t="str">
        <f>"融城社区"</f>
        <v>融城社区</v>
      </c>
      <c r="E9" s="3" t="str">
        <f t="shared" si="0"/>
        <v>140</v>
      </c>
      <c r="F9" s="3" t="str">
        <f t="shared" si="1"/>
        <v>100</v>
      </c>
      <c r="G9" s="3" t="str">
        <f t="shared" si="4"/>
        <v>一级</v>
      </c>
    </row>
    <row r="10" customHeight="1" spans="1:7">
      <c r="A10" s="3" t="str">
        <f>"2409"</f>
        <v>2409</v>
      </c>
      <c r="B10" s="3" t="s">
        <v>1666</v>
      </c>
      <c r="C10" s="3" t="str">
        <f>"新开铺街道"</f>
        <v>新开铺街道</v>
      </c>
      <c r="D10" s="3" t="str">
        <f>"新开铺社区"</f>
        <v>新开铺社区</v>
      </c>
      <c r="E10" s="3" t="str">
        <f t="shared" si="0"/>
        <v>140</v>
      </c>
      <c r="F10" s="3" t="str">
        <f t="shared" si="1"/>
        <v>100</v>
      </c>
      <c r="G10" s="3" t="str">
        <f t="shared" si="4"/>
        <v>一级</v>
      </c>
    </row>
    <row r="11" customHeight="1" spans="1:7">
      <c r="A11" s="3" t="str">
        <f>"2410"</f>
        <v>2410</v>
      </c>
      <c r="B11" s="3" t="s">
        <v>608</v>
      </c>
      <c r="C11" s="3" t="str">
        <f>"裕南街街道"</f>
        <v>裕南街街道</v>
      </c>
      <c r="D11" s="3" t="str">
        <f>"向东南社区"</f>
        <v>向东南社区</v>
      </c>
      <c r="E11" s="3" t="str">
        <f t="shared" si="0"/>
        <v>140</v>
      </c>
      <c r="F11" s="3" t="str">
        <f t="shared" si="1"/>
        <v>100</v>
      </c>
      <c r="G11" s="3" t="str">
        <f t="shared" ref="G11:G15" si="5">"二级"</f>
        <v>二级</v>
      </c>
    </row>
    <row r="12" customHeight="1" spans="1:7">
      <c r="A12" s="3" t="str">
        <f>"2411"</f>
        <v>2411</v>
      </c>
      <c r="B12" s="3" t="s">
        <v>316</v>
      </c>
      <c r="C12" s="3" t="str">
        <f>"城南路街道"</f>
        <v>城南路街道</v>
      </c>
      <c r="D12" s="3" t="str">
        <f>"熙台岭社区"</f>
        <v>熙台岭社区</v>
      </c>
      <c r="E12" s="3" t="str">
        <f t="shared" si="0"/>
        <v>140</v>
      </c>
      <c r="F12" s="3" t="str">
        <f t="shared" si="1"/>
        <v>100</v>
      </c>
      <c r="G12" s="3" t="str">
        <f>"一级"</f>
        <v>一级</v>
      </c>
    </row>
    <row r="13" customHeight="1" spans="1:7">
      <c r="A13" s="3" t="str">
        <f>"2412"</f>
        <v>2412</v>
      </c>
      <c r="B13" s="3" t="s">
        <v>22</v>
      </c>
      <c r="C13" s="3" t="str">
        <f>"青园街道"</f>
        <v>青园街道</v>
      </c>
      <c r="D13" s="3" t="str">
        <f>"井湾子社区"</f>
        <v>井湾子社区</v>
      </c>
      <c r="E13" s="3" t="str">
        <f t="shared" si="0"/>
        <v>140</v>
      </c>
      <c r="F13" s="3" t="str">
        <f t="shared" si="1"/>
        <v>100</v>
      </c>
      <c r="G13" s="3" t="str">
        <f t="shared" si="5"/>
        <v>二级</v>
      </c>
    </row>
    <row r="14" customHeight="1" spans="1:7">
      <c r="A14" s="3" t="str">
        <f>"2413"</f>
        <v>2413</v>
      </c>
      <c r="B14" s="3" t="s">
        <v>1667</v>
      </c>
      <c r="C14" s="3" t="str">
        <f>"新开铺街道"</f>
        <v>新开铺街道</v>
      </c>
      <c r="D14" s="3" t="str">
        <f>"新开铺社区"</f>
        <v>新开铺社区</v>
      </c>
      <c r="E14" s="3" t="str">
        <f t="shared" si="0"/>
        <v>140</v>
      </c>
      <c r="F14" s="3" t="str">
        <f t="shared" si="1"/>
        <v>100</v>
      </c>
      <c r="G14" s="3" t="str">
        <f t="shared" si="5"/>
        <v>二级</v>
      </c>
    </row>
    <row r="15" customHeight="1" spans="1:7">
      <c r="A15" s="3" t="str">
        <f>"2414"</f>
        <v>2414</v>
      </c>
      <c r="B15" s="3" t="s">
        <v>32</v>
      </c>
      <c r="C15" s="3" t="str">
        <f>"坡子街街道"</f>
        <v>坡子街街道</v>
      </c>
      <c r="D15" s="3" t="str">
        <f>"楚湘社区"</f>
        <v>楚湘社区</v>
      </c>
      <c r="E15" s="3" t="str">
        <f t="shared" si="0"/>
        <v>140</v>
      </c>
      <c r="F15" s="3" t="str">
        <f t="shared" si="1"/>
        <v>100</v>
      </c>
      <c r="G15" s="3" t="str">
        <f t="shared" si="5"/>
        <v>二级</v>
      </c>
    </row>
    <row r="16" customHeight="1" spans="1:7">
      <c r="A16" s="3" t="str">
        <f>"2415"</f>
        <v>2415</v>
      </c>
      <c r="B16" s="3" t="s">
        <v>233</v>
      </c>
      <c r="C16" s="3" t="str">
        <f>"南托街道"</f>
        <v>南托街道</v>
      </c>
      <c r="D16" s="3" t="str">
        <f>"滨洲新村"</f>
        <v>滨洲新村</v>
      </c>
      <c r="E16" s="3" t="str">
        <f t="shared" si="0"/>
        <v>140</v>
      </c>
      <c r="F16" s="3" t="str">
        <f>"0"</f>
        <v>0</v>
      </c>
      <c r="G16" s="3" t="str">
        <f>"三级"</f>
        <v>三级</v>
      </c>
    </row>
    <row r="17" customHeight="1" spans="1:7">
      <c r="A17" s="3" t="str">
        <f>"2416"</f>
        <v>2416</v>
      </c>
      <c r="B17" s="3" t="s">
        <v>1668</v>
      </c>
      <c r="C17" s="3" t="str">
        <f>"暮云街道"</f>
        <v>暮云街道</v>
      </c>
      <c r="D17" s="3" t="str">
        <f>"华月湖社区"</f>
        <v>华月湖社区</v>
      </c>
      <c r="E17" s="3" t="str">
        <f t="shared" si="0"/>
        <v>140</v>
      </c>
      <c r="F17" s="3" t="str">
        <f t="shared" ref="F17:F36" si="6">"100"</f>
        <v>100</v>
      </c>
      <c r="G17" s="3" t="str">
        <f t="shared" ref="G17:G22" si="7">"二级"</f>
        <v>二级</v>
      </c>
    </row>
    <row r="18" customHeight="1" spans="1:7">
      <c r="A18" s="3" t="str">
        <f>"2417"</f>
        <v>2417</v>
      </c>
      <c r="B18" s="3" t="s">
        <v>1669</v>
      </c>
      <c r="C18" s="3" t="str">
        <f t="shared" ref="C18:C21" si="8">"裕南街街道"</f>
        <v>裕南街街道</v>
      </c>
      <c r="D18" s="3" t="str">
        <f>"向东南社区"</f>
        <v>向东南社区</v>
      </c>
      <c r="E18" s="3" t="str">
        <f t="shared" si="0"/>
        <v>140</v>
      </c>
      <c r="F18" s="3" t="str">
        <f t="shared" si="6"/>
        <v>100</v>
      </c>
      <c r="G18" s="3" t="str">
        <f t="shared" si="7"/>
        <v>二级</v>
      </c>
    </row>
    <row r="19" customHeight="1" spans="1:7">
      <c r="A19" s="3" t="str">
        <f>"2418"</f>
        <v>2418</v>
      </c>
      <c r="B19" s="3" t="s">
        <v>1627</v>
      </c>
      <c r="C19" s="3" t="str">
        <f t="shared" si="8"/>
        <v>裕南街街道</v>
      </c>
      <c r="D19" s="3" t="str">
        <f>"石子冲社区"</f>
        <v>石子冲社区</v>
      </c>
      <c r="E19" s="3" t="str">
        <f t="shared" si="0"/>
        <v>140</v>
      </c>
      <c r="F19" s="3" t="str">
        <f t="shared" si="6"/>
        <v>100</v>
      </c>
      <c r="G19" s="3" t="str">
        <f t="shared" si="7"/>
        <v>二级</v>
      </c>
    </row>
    <row r="20" customHeight="1" spans="1:7">
      <c r="A20" s="3" t="str">
        <f>"2419"</f>
        <v>2419</v>
      </c>
      <c r="B20" s="3" t="s">
        <v>1580</v>
      </c>
      <c r="C20" s="3" t="str">
        <f>"坡子街街道"</f>
        <v>坡子街街道</v>
      </c>
      <c r="D20" s="3" t="str">
        <f>"太平街社区"</f>
        <v>太平街社区</v>
      </c>
      <c r="E20" s="3" t="str">
        <f t="shared" si="0"/>
        <v>140</v>
      </c>
      <c r="F20" s="3" t="str">
        <f t="shared" si="6"/>
        <v>100</v>
      </c>
      <c r="G20" s="3" t="str">
        <f t="shared" si="7"/>
        <v>二级</v>
      </c>
    </row>
    <row r="21" customHeight="1" spans="1:7">
      <c r="A21" s="3" t="str">
        <f>"2420"</f>
        <v>2420</v>
      </c>
      <c r="B21" s="3" t="s">
        <v>1670</v>
      </c>
      <c r="C21" s="3" t="str">
        <f t="shared" si="8"/>
        <v>裕南街街道</v>
      </c>
      <c r="D21" s="3" t="str">
        <f>"东瓜山社区"</f>
        <v>东瓜山社区</v>
      </c>
      <c r="E21" s="3" t="str">
        <f t="shared" si="0"/>
        <v>140</v>
      </c>
      <c r="F21" s="3" t="str">
        <f t="shared" si="6"/>
        <v>100</v>
      </c>
      <c r="G21" s="3" t="str">
        <f t="shared" si="7"/>
        <v>二级</v>
      </c>
    </row>
    <row r="22" customHeight="1" spans="1:7">
      <c r="A22" s="3" t="str">
        <f>"2421"</f>
        <v>2421</v>
      </c>
      <c r="B22" s="3" t="s">
        <v>1671</v>
      </c>
      <c r="C22" s="3" t="str">
        <f t="shared" ref="C22:C27" si="9">"青园街道"</f>
        <v>青园街道</v>
      </c>
      <c r="D22" s="3" t="str">
        <f>"青园社区"</f>
        <v>青园社区</v>
      </c>
      <c r="E22" s="3" t="str">
        <f t="shared" si="0"/>
        <v>140</v>
      </c>
      <c r="F22" s="3" t="str">
        <f t="shared" si="6"/>
        <v>100</v>
      </c>
      <c r="G22" s="3" t="str">
        <f t="shared" si="7"/>
        <v>二级</v>
      </c>
    </row>
    <row r="23" customHeight="1" spans="1:7">
      <c r="A23" s="3" t="str">
        <f>"2422"</f>
        <v>2422</v>
      </c>
      <c r="B23" s="3" t="s">
        <v>1672</v>
      </c>
      <c r="C23" s="3" t="str">
        <f t="shared" si="9"/>
        <v>青园街道</v>
      </c>
      <c r="D23" s="3" t="str">
        <f>"青园社区"</f>
        <v>青园社区</v>
      </c>
      <c r="E23" s="3" t="str">
        <f t="shared" si="0"/>
        <v>140</v>
      </c>
      <c r="F23" s="3" t="str">
        <f t="shared" si="6"/>
        <v>100</v>
      </c>
      <c r="G23" s="3" t="str">
        <f>"一级"</f>
        <v>一级</v>
      </c>
    </row>
    <row r="24" customHeight="1" spans="1:7">
      <c r="A24" s="3" t="str">
        <f>"2423"</f>
        <v>2423</v>
      </c>
      <c r="B24" s="3" t="s">
        <v>1673</v>
      </c>
      <c r="C24" s="3" t="str">
        <f>"暮云街道"</f>
        <v>暮云街道</v>
      </c>
      <c r="D24" s="3" t="str">
        <f>"弘高社区"</f>
        <v>弘高社区</v>
      </c>
      <c r="E24" s="3" t="str">
        <f t="shared" si="0"/>
        <v>140</v>
      </c>
      <c r="F24" s="3" t="str">
        <f t="shared" si="6"/>
        <v>100</v>
      </c>
      <c r="G24" s="3" t="str">
        <f>"一级"</f>
        <v>一级</v>
      </c>
    </row>
    <row r="25" customHeight="1" spans="1:7">
      <c r="A25" s="3" t="str">
        <f>"2424"</f>
        <v>2424</v>
      </c>
      <c r="B25" s="3" t="s">
        <v>1674</v>
      </c>
      <c r="C25" s="3" t="str">
        <f>"新开铺街道"</f>
        <v>新开铺街道</v>
      </c>
      <c r="D25" s="3" t="str">
        <f>"豹子岭社区"</f>
        <v>豹子岭社区</v>
      </c>
      <c r="E25" s="3" t="str">
        <f t="shared" si="0"/>
        <v>140</v>
      </c>
      <c r="F25" s="3" t="str">
        <f t="shared" si="6"/>
        <v>100</v>
      </c>
      <c r="G25" s="3" t="str">
        <f t="shared" ref="G25:G28" si="10">"二级"</f>
        <v>二级</v>
      </c>
    </row>
    <row r="26" customHeight="1" spans="1:7">
      <c r="A26" s="3" t="str">
        <f>"2425"</f>
        <v>2425</v>
      </c>
      <c r="B26" s="3" t="s">
        <v>1652</v>
      </c>
      <c r="C26" s="3" t="str">
        <f>"坡子街街道"</f>
        <v>坡子街街道</v>
      </c>
      <c r="D26" s="3" t="str">
        <f>"创远社区"</f>
        <v>创远社区</v>
      </c>
      <c r="E26" s="3" t="str">
        <f t="shared" si="0"/>
        <v>140</v>
      </c>
      <c r="F26" s="3" t="str">
        <f t="shared" si="6"/>
        <v>100</v>
      </c>
      <c r="G26" s="3" t="str">
        <f t="shared" si="10"/>
        <v>二级</v>
      </c>
    </row>
    <row r="27" customHeight="1" spans="1:7">
      <c r="A27" s="3" t="str">
        <f>"2426"</f>
        <v>2426</v>
      </c>
      <c r="B27" s="3" t="s">
        <v>1675</v>
      </c>
      <c r="C27" s="3" t="str">
        <f t="shared" si="9"/>
        <v>青园街道</v>
      </c>
      <c r="D27" s="3" t="str">
        <f>"友谊社区"</f>
        <v>友谊社区</v>
      </c>
      <c r="E27" s="3" t="str">
        <f t="shared" si="0"/>
        <v>140</v>
      </c>
      <c r="F27" s="3" t="str">
        <f t="shared" si="6"/>
        <v>100</v>
      </c>
      <c r="G27" s="3" t="str">
        <f t="shared" si="10"/>
        <v>二级</v>
      </c>
    </row>
    <row r="28" customHeight="1" spans="1:7">
      <c r="A28" s="3" t="str">
        <f>"2427"</f>
        <v>2427</v>
      </c>
      <c r="B28" s="3" t="s">
        <v>428</v>
      </c>
      <c r="C28" s="3" t="str">
        <f>"坡子街街道"</f>
        <v>坡子街街道</v>
      </c>
      <c r="D28" s="3" t="str">
        <f>"西湖社区"</f>
        <v>西湖社区</v>
      </c>
      <c r="E28" s="3" t="str">
        <f t="shared" si="0"/>
        <v>140</v>
      </c>
      <c r="F28" s="3" t="str">
        <f t="shared" si="6"/>
        <v>100</v>
      </c>
      <c r="G28" s="3" t="str">
        <f t="shared" si="10"/>
        <v>二级</v>
      </c>
    </row>
    <row r="29" customHeight="1" spans="1:7">
      <c r="A29" s="3" t="str">
        <f>"2428"</f>
        <v>2428</v>
      </c>
      <c r="B29" s="3" t="s">
        <v>68</v>
      </c>
      <c r="C29" s="3" t="str">
        <f>"黑石铺街道"</f>
        <v>黑石铺街道</v>
      </c>
      <c r="D29" s="3" t="str">
        <f>"创谷社区"</f>
        <v>创谷社区</v>
      </c>
      <c r="E29" s="3" t="str">
        <f t="shared" si="0"/>
        <v>140</v>
      </c>
      <c r="F29" s="3" t="str">
        <f t="shared" si="6"/>
        <v>100</v>
      </c>
      <c r="G29" s="3" t="str">
        <f t="shared" ref="G29:G32" si="11">"一级"</f>
        <v>一级</v>
      </c>
    </row>
    <row r="30" customHeight="1" spans="1:7">
      <c r="A30" s="3" t="str">
        <f>"2429"</f>
        <v>2429</v>
      </c>
      <c r="B30" s="3" t="s">
        <v>1676</v>
      </c>
      <c r="C30" s="3" t="str">
        <f>"新开铺街道"</f>
        <v>新开铺街道</v>
      </c>
      <c r="D30" s="3" t="str">
        <f>"豹子岭社区"</f>
        <v>豹子岭社区</v>
      </c>
      <c r="E30" s="3" t="str">
        <f t="shared" si="0"/>
        <v>140</v>
      </c>
      <c r="F30" s="3" t="str">
        <f t="shared" si="6"/>
        <v>100</v>
      </c>
      <c r="G30" s="3" t="str">
        <f t="shared" si="11"/>
        <v>一级</v>
      </c>
    </row>
    <row r="31" customHeight="1" spans="1:7">
      <c r="A31" s="3" t="str">
        <f>"2430"</f>
        <v>2430</v>
      </c>
      <c r="B31" s="3" t="s">
        <v>1677</v>
      </c>
      <c r="C31" s="3" t="str">
        <f>"文源街道"</f>
        <v>文源街道</v>
      </c>
      <c r="D31" s="3" t="str">
        <f>"金汇社区"</f>
        <v>金汇社区</v>
      </c>
      <c r="E31" s="3" t="str">
        <f t="shared" si="0"/>
        <v>140</v>
      </c>
      <c r="F31" s="3" t="str">
        <f t="shared" si="6"/>
        <v>100</v>
      </c>
      <c r="G31" s="3" t="str">
        <f>"二级"</f>
        <v>二级</v>
      </c>
    </row>
    <row r="32" customHeight="1" spans="1:7">
      <c r="A32" s="3" t="str">
        <f>"2431"</f>
        <v>2431</v>
      </c>
      <c r="B32" s="3" t="s">
        <v>1678</v>
      </c>
      <c r="C32" s="3" t="str">
        <f t="shared" ref="C32:C37" si="12">"暮云街道"</f>
        <v>暮云街道</v>
      </c>
      <c r="D32" s="3" t="str">
        <f>"高云社区"</f>
        <v>高云社区</v>
      </c>
      <c r="E32" s="3" t="str">
        <f t="shared" si="0"/>
        <v>140</v>
      </c>
      <c r="F32" s="3" t="str">
        <f t="shared" si="6"/>
        <v>100</v>
      </c>
      <c r="G32" s="3" t="str">
        <f t="shared" si="11"/>
        <v>一级</v>
      </c>
    </row>
    <row r="33" customHeight="1" spans="1:7">
      <c r="A33" s="3" t="str">
        <f>"2432"</f>
        <v>2432</v>
      </c>
      <c r="B33" s="3" t="s">
        <v>1679</v>
      </c>
      <c r="C33" s="3" t="str">
        <f t="shared" ref="C33:C35" si="13">"南托街道"</f>
        <v>南托街道</v>
      </c>
      <c r="D33" s="3" t="str">
        <f>"融城社区"</f>
        <v>融城社区</v>
      </c>
      <c r="E33" s="3" t="str">
        <f t="shared" si="0"/>
        <v>140</v>
      </c>
      <c r="F33" s="3" t="str">
        <f t="shared" si="6"/>
        <v>100</v>
      </c>
      <c r="G33" s="3" t="str">
        <f>"二级"</f>
        <v>二级</v>
      </c>
    </row>
    <row r="34" customHeight="1" spans="1:7">
      <c r="A34" s="3" t="str">
        <f>"2433"</f>
        <v>2433</v>
      </c>
      <c r="B34" s="3" t="s">
        <v>407</v>
      </c>
      <c r="C34" s="3" t="str">
        <f t="shared" si="13"/>
        <v>南托街道</v>
      </c>
      <c r="D34" s="3" t="str">
        <f>"融城社区"</f>
        <v>融城社区</v>
      </c>
      <c r="E34" s="3" t="str">
        <f t="shared" si="0"/>
        <v>140</v>
      </c>
      <c r="F34" s="3" t="str">
        <f t="shared" si="6"/>
        <v>100</v>
      </c>
      <c r="G34" s="3" t="str">
        <f t="shared" ref="G34:G36" si="14">"一级"</f>
        <v>一级</v>
      </c>
    </row>
    <row r="35" customHeight="1" spans="1:7">
      <c r="A35" s="3" t="str">
        <f>"2434"</f>
        <v>2434</v>
      </c>
      <c r="B35" s="3" t="s">
        <v>1680</v>
      </c>
      <c r="C35" s="3" t="str">
        <f t="shared" si="13"/>
        <v>南托街道</v>
      </c>
      <c r="D35" s="3" t="str">
        <f>"南鑫社区"</f>
        <v>南鑫社区</v>
      </c>
      <c r="E35" s="3" t="str">
        <f t="shared" si="0"/>
        <v>140</v>
      </c>
      <c r="F35" s="3" t="str">
        <f t="shared" si="6"/>
        <v>100</v>
      </c>
      <c r="G35" s="3" t="str">
        <f t="shared" si="14"/>
        <v>一级</v>
      </c>
    </row>
    <row r="36" customHeight="1" spans="1:7">
      <c r="A36" s="3" t="str">
        <f>"2435"</f>
        <v>2435</v>
      </c>
      <c r="B36" s="3" t="s">
        <v>1681</v>
      </c>
      <c r="C36" s="3" t="str">
        <f t="shared" si="12"/>
        <v>暮云街道</v>
      </c>
      <c r="D36" s="3" t="str">
        <f>"暮云社区"</f>
        <v>暮云社区</v>
      </c>
      <c r="E36" s="3" t="str">
        <f t="shared" si="0"/>
        <v>140</v>
      </c>
      <c r="F36" s="3" t="str">
        <f t="shared" si="6"/>
        <v>100</v>
      </c>
      <c r="G36" s="3" t="str">
        <f t="shared" si="14"/>
        <v>一级</v>
      </c>
    </row>
    <row r="37" customHeight="1" spans="1:7">
      <c r="A37" s="3" t="str">
        <f>"2436"</f>
        <v>2436</v>
      </c>
      <c r="B37" s="3" t="s">
        <v>1682</v>
      </c>
      <c r="C37" s="3" t="str">
        <f t="shared" si="12"/>
        <v>暮云街道</v>
      </c>
      <c r="D37" s="3" t="str">
        <f>"暮云社区"</f>
        <v>暮云社区</v>
      </c>
      <c r="E37" s="3" t="str">
        <f t="shared" si="0"/>
        <v>140</v>
      </c>
      <c r="F37" s="3" t="str">
        <f>"0"</f>
        <v>0</v>
      </c>
      <c r="G37" s="3" t="str">
        <f>"三级"</f>
        <v>三级</v>
      </c>
    </row>
    <row r="38" customHeight="1" spans="1:7">
      <c r="A38" s="3" t="str">
        <f>"2437"</f>
        <v>2437</v>
      </c>
      <c r="B38" s="3" t="s">
        <v>1452</v>
      </c>
      <c r="C38" s="3" t="str">
        <f>"赤岭路街道"</f>
        <v>赤岭路街道</v>
      </c>
      <c r="D38" s="3" t="str">
        <f>"新丰社区"</f>
        <v>新丰社区</v>
      </c>
      <c r="E38" s="3" t="str">
        <f t="shared" si="0"/>
        <v>140</v>
      </c>
      <c r="F38" s="3" t="str">
        <f t="shared" ref="F38:F51" si="15">"100"</f>
        <v>100</v>
      </c>
      <c r="G38" s="3" t="str">
        <f t="shared" ref="G38:G42" si="16">"一级"</f>
        <v>一级</v>
      </c>
    </row>
    <row r="39" customHeight="1" spans="1:7">
      <c r="A39" s="3" t="str">
        <f>"2438"</f>
        <v>2438</v>
      </c>
      <c r="B39" s="3" t="s">
        <v>1683</v>
      </c>
      <c r="C39" s="3" t="str">
        <f>"青园街道"</f>
        <v>青园街道</v>
      </c>
      <c r="D39" s="3" t="str">
        <f>"井湾子社区"</f>
        <v>井湾子社区</v>
      </c>
      <c r="E39" s="3" t="str">
        <f t="shared" si="0"/>
        <v>140</v>
      </c>
      <c r="F39" s="3" t="str">
        <f t="shared" si="15"/>
        <v>100</v>
      </c>
      <c r="G39" s="3" t="str">
        <f t="shared" si="16"/>
        <v>一级</v>
      </c>
    </row>
    <row r="40" customHeight="1" spans="1:7">
      <c r="A40" s="3" t="str">
        <f>"2439"</f>
        <v>2439</v>
      </c>
      <c r="B40" s="3" t="s">
        <v>1684</v>
      </c>
      <c r="C40" s="3" t="str">
        <f>"裕南街街道"</f>
        <v>裕南街街道</v>
      </c>
      <c r="D40" s="3" t="str">
        <f>"宝塔山社区"</f>
        <v>宝塔山社区</v>
      </c>
      <c r="E40" s="3" t="str">
        <f t="shared" si="0"/>
        <v>140</v>
      </c>
      <c r="F40" s="3" t="str">
        <f t="shared" si="15"/>
        <v>100</v>
      </c>
      <c r="G40" s="3" t="str">
        <f t="shared" ref="G40:G50" si="17">"二级"</f>
        <v>二级</v>
      </c>
    </row>
    <row r="41" customHeight="1" spans="1:7">
      <c r="A41" s="3" t="str">
        <f>"2440"</f>
        <v>2440</v>
      </c>
      <c r="B41" s="3" t="s">
        <v>1685</v>
      </c>
      <c r="C41" s="3" t="str">
        <f>"裕南街街道"</f>
        <v>裕南街街道</v>
      </c>
      <c r="D41" s="3" t="str">
        <f>"宝塔山社区"</f>
        <v>宝塔山社区</v>
      </c>
      <c r="E41" s="3" t="str">
        <f t="shared" si="0"/>
        <v>140</v>
      </c>
      <c r="F41" s="3" t="str">
        <f t="shared" si="15"/>
        <v>100</v>
      </c>
      <c r="G41" s="3" t="str">
        <f t="shared" si="16"/>
        <v>一级</v>
      </c>
    </row>
    <row r="42" customHeight="1" spans="1:7">
      <c r="A42" s="3" t="str">
        <f>"2441"</f>
        <v>2441</v>
      </c>
      <c r="B42" s="3" t="s">
        <v>1686</v>
      </c>
      <c r="C42" s="3" t="str">
        <f>"暮云街道"</f>
        <v>暮云街道</v>
      </c>
      <c r="D42" s="3" t="str">
        <f>"怡海社区"</f>
        <v>怡海社区</v>
      </c>
      <c r="E42" s="3" t="str">
        <f t="shared" si="0"/>
        <v>140</v>
      </c>
      <c r="F42" s="3" t="str">
        <f t="shared" si="15"/>
        <v>100</v>
      </c>
      <c r="G42" s="3" t="str">
        <f t="shared" si="16"/>
        <v>一级</v>
      </c>
    </row>
    <row r="43" customHeight="1" spans="1:7">
      <c r="A43" s="3" t="str">
        <f>"2442"</f>
        <v>2442</v>
      </c>
      <c r="B43" s="3" t="s">
        <v>1096</v>
      </c>
      <c r="C43" s="3" t="str">
        <f t="shared" ref="C43:C49" si="18">"坡子街街道"</f>
        <v>坡子街街道</v>
      </c>
      <c r="D43" s="3" t="str">
        <f>"登仁桥社区"</f>
        <v>登仁桥社区</v>
      </c>
      <c r="E43" s="3" t="str">
        <f t="shared" si="0"/>
        <v>140</v>
      </c>
      <c r="F43" s="3" t="str">
        <f t="shared" si="15"/>
        <v>100</v>
      </c>
      <c r="G43" s="3" t="str">
        <f t="shared" si="17"/>
        <v>二级</v>
      </c>
    </row>
    <row r="44" customHeight="1" spans="1:7">
      <c r="A44" s="3" t="str">
        <f>"2443"</f>
        <v>2443</v>
      </c>
      <c r="B44" s="3" t="s">
        <v>418</v>
      </c>
      <c r="C44" s="3" t="str">
        <f>"青园街道"</f>
        <v>青园街道</v>
      </c>
      <c r="D44" s="3" t="str">
        <f>"井湾子社区"</f>
        <v>井湾子社区</v>
      </c>
      <c r="E44" s="3" t="str">
        <f t="shared" si="0"/>
        <v>140</v>
      </c>
      <c r="F44" s="3" t="str">
        <f t="shared" si="15"/>
        <v>100</v>
      </c>
      <c r="G44" s="3" t="str">
        <f t="shared" si="17"/>
        <v>二级</v>
      </c>
    </row>
    <row r="45" customHeight="1" spans="1:7">
      <c r="A45" s="3" t="str">
        <f>"2444"</f>
        <v>2444</v>
      </c>
      <c r="B45" s="3" t="s">
        <v>1687</v>
      </c>
      <c r="C45" s="3" t="str">
        <f t="shared" si="18"/>
        <v>坡子街街道</v>
      </c>
      <c r="D45" s="3" t="str">
        <f>"坡子街社区"</f>
        <v>坡子街社区</v>
      </c>
      <c r="E45" s="3" t="str">
        <f t="shared" si="0"/>
        <v>140</v>
      </c>
      <c r="F45" s="3" t="str">
        <f t="shared" si="15"/>
        <v>100</v>
      </c>
      <c r="G45" s="3" t="str">
        <f t="shared" si="17"/>
        <v>二级</v>
      </c>
    </row>
    <row r="46" customHeight="1" spans="1:7">
      <c r="A46" s="3" t="str">
        <f>"2445"</f>
        <v>2445</v>
      </c>
      <c r="B46" s="3" t="s">
        <v>1688</v>
      </c>
      <c r="C46" s="3" t="str">
        <f>"城南路街道"</f>
        <v>城南路街道</v>
      </c>
      <c r="D46" s="3" t="str">
        <f>"熙台岭社区"</f>
        <v>熙台岭社区</v>
      </c>
      <c r="E46" s="3" t="str">
        <f t="shared" si="0"/>
        <v>140</v>
      </c>
      <c r="F46" s="3" t="str">
        <f t="shared" si="15"/>
        <v>100</v>
      </c>
      <c r="G46" s="3" t="str">
        <f t="shared" si="17"/>
        <v>二级</v>
      </c>
    </row>
    <row r="47" customHeight="1" spans="1:7">
      <c r="A47" s="3" t="str">
        <f>"2446"</f>
        <v>2446</v>
      </c>
      <c r="B47" s="3" t="s">
        <v>1689</v>
      </c>
      <c r="C47" s="3" t="str">
        <f t="shared" si="18"/>
        <v>坡子街街道</v>
      </c>
      <c r="D47" s="3" t="str">
        <f>"楚湘社区"</f>
        <v>楚湘社区</v>
      </c>
      <c r="E47" s="3" t="str">
        <f t="shared" si="0"/>
        <v>140</v>
      </c>
      <c r="F47" s="3" t="str">
        <f t="shared" si="15"/>
        <v>100</v>
      </c>
      <c r="G47" s="3" t="str">
        <f t="shared" si="17"/>
        <v>二级</v>
      </c>
    </row>
    <row r="48" customHeight="1" spans="1:7">
      <c r="A48" s="3" t="str">
        <f>"2447"</f>
        <v>2447</v>
      </c>
      <c r="B48" s="3" t="s">
        <v>253</v>
      </c>
      <c r="C48" s="3" t="str">
        <f t="shared" si="18"/>
        <v>坡子街街道</v>
      </c>
      <c r="D48" s="3" t="str">
        <f>"八角亭社区"</f>
        <v>八角亭社区</v>
      </c>
      <c r="E48" s="3" t="str">
        <f t="shared" si="0"/>
        <v>140</v>
      </c>
      <c r="F48" s="3" t="str">
        <f t="shared" si="15"/>
        <v>100</v>
      </c>
      <c r="G48" s="3" t="str">
        <f t="shared" si="17"/>
        <v>二级</v>
      </c>
    </row>
    <row r="49" customHeight="1" spans="1:7">
      <c r="A49" s="3" t="str">
        <f>"2448"</f>
        <v>2448</v>
      </c>
      <c r="B49" s="3" t="s">
        <v>1690</v>
      </c>
      <c r="C49" s="3" t="str">
        <f t="shared" si="18"/>
        <v>坡子街街道</v>
      </c>
      <c r="D49" s="3" t="str">
        <f>"青山祠社区"</f>
        <v>青山祠社区</v>
      </c>
      <c r="E49" s="3" t="str">
        <f t="shared" si="0"/>
        <v>140</v>
      </c>
      <c r="F49" s="3" t="str">
        <f t="shared" si="15"/>
        <v>100</v>
      </c>
      <c r="G49" s="3" t="str">
        <f t="shared" si="17"/>
        <v>二级</v>
      </c>
    </row>
    <row r="50" customHeight="1" spans="1:7">
      <c r="A50" s="3" t="str">
        <f>"2449"</f>
        <v>2449</v>
      </c>
      <c r="B50" s="3" t="s">
        <v>749</v>
      </c>
      <c r="C50" s="3" t="str">
        <f>"桂花坪街道"</f>
        <v>桂花坪街道</v>
      </c>
      <c r="D50" s="3" t="str">
        <f>"金桂社区"</f>
        <v>金桂社区</v>
      </c>
      <c r="E50" s="3" t="str">
        <f t="shared" si="0"/>
        <v>140</v>
      </c>
      <c r="F50" s="3" t="str">
        <f t="shared" si="15"/>
        <v>100</v>
      </c>
      <c r="G50" s="3" t="str">
        <f t="shared" si="17"/>
        <v>二级</v>
      </c>
    </row>
    <row r="51" customHeight="1" spans="1:7">
      <c r="A51" s="3" t="str">
        <f>"2450"</f>
        <v>2450</v>
      </c>
      <c r="B51" s="3" t="s">
        <v>1691</v>
      </c>
      <c r="C51" s="3" t="str">
        <f>"坡子街街道"</f>
        <v>坡子街街道</v>
      </c>
      <c r="D51" s="3" t="str">
        <f>"西湖社区"</f>
        <v>西湖社区</v>
      </c>
      <c r="E51" s="3" t="str">
        <f t="shared" si="0"/>
        <v>140</v>
      </c>
      <c r="F51" s="3" t="str">
        <f t="shared" si="15"/>
        <v>100</v>
      </c>
      <c r="G51" s="3" t="str">
        <f>"一级"</f>
        <v>一级</v>
      </c>
    </row>
    <row r="52" customHeight="1" spans="1:7">
      <c r="A52" s="3" t="str">
        <f>"2451"</f>
        <v>2451</v>
      </c>
      <c r="B52" s="3" t="s">
        <v>1692</v>
      </c>
      <c r="C52" s="3" t="str">
        <f>"赤岭路街道"</f>
        <v>赤岭路街道</v>
      </c>
      <c r="D52" s="3" t="str">
        <f>"南大桥社区"</f>
        <v>南大桥社区</v>
      </c>
      <c r="E52" s="3" t="str">
        <f t="shared" si="0"/>
        <v>140</v>
      </c>
      <c r="F52" s="3" t="str">
        <f>"0"</f>
        <v>0</v>
      </c>
      <c r="G52" s="3" t="str">
        <f>"三级"</f>
        <v>三级</v>
      </c>
    </row>
    <row r="53" customHeight="1" spans="1:7">
      <c r="A53" s="3" t="str">
        <f>"2452"</f>
        <v>2452</v>
      </c>
      <c r="B53" s="3" t="s">
        <v>1345</v>
      </c>
      <c r="C53" s="3" t="str">
        <f>"裕南街街道"</f>
        <v>裕南街街道</v>
      </c>
      <c r="D53" s="3" t="str">
        <f>"火把山社区"</f>
        <v>火把山社区</v>
      </c>
      <c r="E53" s="3" t="str">
        <f t="shared" si="0"/>
        <v>140</v>
      </c>
      <c r="F53" s="3" t="str">
        <f t="shared" ref="F53:F56" si="19">"100"</f>
        <v>100</v>
      </c>
      <c r="G53" s="3" t="str">
        <f t="shared" ref="G53:G56" si="20">"二级"</f>
        <v>二级</v>
      </c>
    </row>
    <row r="54" customHeight="1" spans="1:7">
      <c r="A54" s="3" t="str">
        <f>"2453"</f>
        <v>2453</v>
      </c>
      <c r="B54" s="3" t="s">
        <v>146</v>
      </c>
      <c r="C54" s="3" t="str">
        <f>"裕南街街道"</f>
        <v>裕南街街道</v>
      </c>
      <c r="D54" s="3" t="str">
        <f>"火把山社区"</f>
        <v>火把山社区</v>
      </c>
      <c r="E54" s="3" t="str">
        <f t="shared" si="0"/>
        <v>140</v>
      </c>
      <c r="F54" s="3" t="str">
        <f t="shared" si="19"/>
        <v>100</v>
      </c>
      <c r="G54" s="3" t="str">
        <f t="shared" si="20"/>
        <v>二级</v>
      </c>
    </row>
    <row r="55" customHeight="1" spans="1:7">
      <c r="A55" s="3" t="str">
        <f>"2454"</f>
        <v>2454</v>
      </c>
      <c r="B55" s="3" t="s">
        <v>1693</v>
      </c>
      <c r="C55" s="3" t="str">
        <f>"先锋街道"</f>
        <v>先锋街道</v>
      </c>
      <c r="D55" s="3" t="str">
        <f>"嘉和社区"</f>
        <v>嘉和社区</v>
      </c>
      <c r="E55" s="3" t="str">
        <f t="shared" si="0"/>
        <v>140</v>
      </c>
      <c r="F55" s="3" t="str">
        <f t="shared" si="19"/>
        <v>100</v>
      </c>
      <c r="G55" s="3" t="str">
        <f t="shared" si="20"/>
        <v>二级</v>
      </c>
    </row>
    <row r="56" customHeight="1" spans="1:7">
      <c r="A56" s="3" t="str">
        <f>"2455"</f>
        <v>2455</v>
      </c>
      <c r="B56" s="3" t="s">
        <v>1694</v>
      </c>
      <c r="C56" s="3" t="str">
        <f>"黑石铺街道"</f>
        <v>黑石铺街道</v>
      </c>
      <c r="D56" s="3" t="str">
        <f>"铭安社区"</f>
        <v>铭安社区</v>
      </c>
      <c r="E56" s="3" t="str">
        <f t="shared" si="0"/>
        <v>140</v>
      </c>
      <c r="F56" s="3" t="str">
        <f t="shared" si="19"/>
        <v>100</v>
      </c>
      <c r="G56" s="3" t="str">
        <f t="shared" si="20"/>
        <v>二级</v>
      </c>
    </row>
    <row r="57" customHeight="1" spans="1:7">
      <c r="A57" s="3" t="str">
        <f>"2456"</f>
        <v>2456</v>
      </c>
      <c r="B57" s="3" t="s">
        <v>146</v>
      </c>
      <c r="C57" s="3" t="str">
        <f>"大托铺街道"</f>
        <v>大托铺街道</v>
      </c>
      <c r="D57" s="3" t="str">
        <f>"新港村委会"</f>
        <v>新港村委会</v>
      </c>
      <c r="E57" s="3" t="str">
        <f t="shared" si="0"/>
        <v>140</v>
      </c>
      <c r="F57" s="3" t="str">
        <f>"0"</f>
        <v>0</v>
      </c>
      <c r="G57" s="3" t="str">
        <f>"三级"</f>
        <v>三级</v>
      </c>
    </row>
    <row r="58" customHeight="1" spans="1:7">
      <c r="A58" s="3" t="str">
        <f>"2457"</f>
        <v>2457</v>
      </c>
      <c r="B58" s="3" t="s">
        <v>1695</v>
      </c>
      <c r="C58" s="3" t="str">
        <f>"南托街道"</f>
        <v>南托街道</v>
      </c>
      <c r="D58" s="3" t="str">
        <f>"融城社区"</f>
        <v>融城社区</v>
      </c>
      <c r="E58" s="3" t="str">
        <f t="shared" si="0"/>
        <v>140</v>
      </c>
      <c r="F58" s="3" t="str">
        <f t="shared" ref="F58:F79" si="21">"100"</f>
        <v>100</v>
      </c>
      <c r="G58" s="3" t="str">
        <f t="shared" ref="G58:G61" si="22">"一级"</f>
        <v>一级</v>
      </c>
    </row>
    <row r="59" customHeight="1" spans="1:7">
      <c r="A59" s="3" t="str">
        <f>"2458"</f>
        <v>2458</v>
      </c>
      <c r="B59" s="3" t="s">
        <v>876</v>
      </c>
      <c r="C59" s="3" t="str">
        <f>"文源街道"</f>
        <v>文源街道</v>
      </c>
      <c r="D59" s="3" t="str">
        <f>"天鸿社区"</f>
        <v>天鸿社区</v>
      </c>
      <c r="E59" s="3" t="str">
        <f t="shared" si="0"/>
        <v>140</v>
      </c>
      <c r="F59" s="3" t="str">
        <f t="shared" si="21"/>
        <v>100</v>
      </c>
      <c r="G59" s="3" t="str">
        <f t="shared" si="22"/>
        <v>一级</v>
      </c>
    </row>
    <row r="60" customHeight="1" spans="1:7">
      <c r="A60" s="3" t="str">
        <f>"2459"</f>
        <v>2459</v>
      </c>
      <c r="B60" s="3" t="s">
        <v>1696</v>
      </c>
      <c r="C60" s="3" t="str">
        <f>"暮云街道"</f>
        <v>暮云街道</v>
      </c>
      <c r="D60" s="3" t="str">
        <f>"华月湖社区"</f>
        <v>华月湖社区</v>
      </c>
      <c r="E60" s="3" t="str">
        <f t="shared" si="0"/>
        <v>140</v>
      </c>
      <c r="F60" s="3" t="str">
        <f t="shared" si="21"/>
        <v>100</v>
      </c>
      <c r="G60" s="3" t="str">
        <f t="shared" si="22"/>
        <v>一级</v>
      </c>
    </row>
    <row r="61" customHeight="1" spans="1:7">
      <c r="A61" s="3" t="str">
        <f>"2460"</f>
        <v>2460</v>
      </c>
      <c r="B61" s="3" t="s">
        <v>980</v>
      </c>
      <c r="C61" s="3" t="str">
        <f>"坡子街街道"</f>
        <v>坡子街街道</v>
      </c>
      <c r="D61" s="3" t="str">
        <f>"西牌楼社区"</f>
        <v>西牌楼社区</v>
      </c>
      <c r="E61" s="3" t="str">
        <f t="shared" si="0"/>
        <v>140</v>
      </c>
      <c r="F61" s="3" t="str">
        <f t="shared" si="21"/>
        <v>100</v>
      </c>
      <c r="G61" s="3" t="str">
        <f t="shared" si="22"/>
        <v>一级</v>
      </c>
    </row>
    <row r="62" customHeight="1" spans="1:7">
      <c r="A62" s="3" t="str">
        <f>"2461"</f>
        <v>2461</v>
      </c>
      <c r="B62" s="3" t="s">
        <v>257</v>
      </c>
      <c r="C62" s="3" t="str">
        <f>"裕南街街道"</f>
        <v>裕南街街道</v>
      </c>
      <c r="D62" s="3" t="str">
        <f>"长坡社区"</f>
        <v>长坡社区</v>
      </c>
      <c r="E62" s="3" t="str">
        <f t="shared" si="0"/>
        <v>140</v>
      </c>
      <c r="F62" s="3" t="str">
        <f t="shared" si="21"/>
        <v>100</v>
      </c>
      <c r="G62" s="3" t="str">
        <f t="shared" ref="G62:G66" si="23">"二级"</f>
        <v>二级</v>
      </c>
    </row>
    <row r="63" customHeight="1" spans="1:7">
      <c r="A63" s="3" t="str">
        <f>"2462"</f>
        <v>2462</v>
      </c>
      <c r="B63" s="3" t="s">
        <v>261</v>
      </c>
      <c r="C63" s="3" t="str">
        <f>"南托街道"</f>
        <v>南托街道</v>
      </c>
      <c r="D63" s="3" t="str">
        <f>"沿江村"</f>
        <v>沿江村</v>
      </c>
      <c r="E63" s="3" t="str">
        <f t="shared" si="0"/>
        <v>140</v>
      </c>
      <c r="F63" s="3" t="str">
        <f t="shared" si="21"/>
        <v>100</v>
      </c>
      <c r="G63" s="3" t="str">
        <f t="shared" si="23"/>
        <v>二级</v>
      </c>
    </row>
    <row r="64" customHeight="1" spans="1:7">
      <c r="A64" s="3" t="str">
        <f>"2463"</f>
        <v>2463</v>
      </c>
      <c r="B64" s="3" t="s">
        <v>1697</v>
      </c>
      <c r="C64" s="3" t="str">
        <f>"新开铺街道"</f>
        <v>新开铺街道</v>
      </c>
      <c r="D64" s="3" t="str">
        <f>"木莲社区"</f>
        <v>木莲社区</v>
      </c>
      <c r="E64" s="3" t="str">
        <f t="shared" si="0"/>
        <v>140</v>
      </c>
      <c r="F64" s="3" t="str">
        <f t="shared" si="21"/>
        <v>100</v>
      </c>
      <c r="G64" s="3" t="str">
        <f t="shared" si="23"/>
        <v>二级</v>
      </c>
    </row>
    <row r="65" customHeight="1" spans="1:7">
      <c r="A65" s="3" t="str">
        <f>"2464"</f>
        <v>2464</v>
      </c>
      <c r="B65" s="3" t="s">
        <v>1698</v>
      </c>
      <c r="C65" s="3" t="str">
        <f>"新开铺街道"</f>
        <v>新开铺街道</v>
      </c>
      <c r="D65" s="3" t="str">
        <f>"木莲社区"</f>
        <v>木莲社区</v>
      </c>
      <c r="E65" s="3" t="str">
        <f t="shared" si="0"/>
        <v>140</v>
      </c>
      <c r="F65" s="3" t="str">
        <f t="shared" si="21"/>
        <v>100</v>
      </c>
      <c r="G65" s="3" t="str">
        <f t="shared" si="23"/>
        <v>二级</v>
      </c>
    </row>
    <row r="66" customHeight="1" spans="1:7">
      <c r="A66" s="3" t="str">
        <f>"2465"</f>
        <v>2465</v>
      </c>
      <c r="B66" s="3" t="s">
        <v>140</v>
      </c>
      <c r="C66" s="3" t="str">
        <f>"裕南街街道"</f>
        <v>裕南街街道</v>
      </c>
      <c r="D66" s="3" t="str">
        <f>"向东南社区"</f>
        <v>向东南社区</v>
      </c>
      <c r="E66" s="3" t="str">
        <f t="shared" ref="E66:E129" si="24">"140"</f>
        <v>140</v>
      </c>
      <c r="F66" s="3" t="str">
        <f t="shared" si="21"/>
        <v>100</v>
      </c>
      <c r="G66" s="3" t="str">
        <f t="shared" si="23"/>
        <v>二级</v>
      </c>
    </row>
    <row r="67" customHeight="1" spans="1:7">
      <c r="A67" s="3" t="str">
        <f>"2466"</f>
        <v>2466</v>
      </c>
      <c r="B67" s="3" t="s">
        <v>763</v>
      </c>
      <c r="C67" s="3" t="str">
        <f>"青园街道"</f>
        <v>青园街道</v>
      </c>
      <c r="D67" s="3" t="str">
        <f>"青园社区"</f>
        <v>青园社区</v>
      </c>
      <c r="E67" s="3" t="str">
        <f t="shared" si="24"/>
        <v>140</v>
      </c>
      <c r="F67" s="3" t="str">
        <f t="shared" si="21"/>
        <v>100</v>
      </c>
      <c r="G67" s="3" t="str">
        <f>"一级"</f>
        <v>一级</v>
      </c>
    </row>
    <row r="68" customHeight="1" spans="1:7">
      <c r="A68" s="3" t="str">
        <f>"2467"</f>
        <v>2467</v>
      </c>
      <c r="B68" s="3" t="s">
        <v>1699</v>
      </c>
      <c r="C68" s="3" t="str">
        <f t="shared" ref="C68:C72" si="25">"黑石铺街道"</f>
        <v>黑石铺街道</v>
      </c>
      <c r="D68" s="3" t="str">
        <f t="shared" ref="D68:D72" si="26">"创谷社区"</f>
        <v>创谷社区</v>
      </c>
      <c r="E68" s="3" t="str">
        <f t="shared" si="24"/>
        <v>140</v>
      </c>
      <c r="F68" s="3" t="str">
        <f t="shared" si="21"/>
        <v>100</v>
      </c>
      <c r="G68" s="3" t="str">
        <f t="shared" ref="G68:G79" si="27">"二级"</f>
        <v>二级</v>
      </c>
    </row>
    <row r="69" customHeight="1" spans="1:7">
      <c r="A69" s="3" t="str">
        <f>"2468"</f>
        <v>2468</v>
      </c>
      <c r="B69" s="3" t="s">
        <v>664</v>
      </c>
      <c r="C69" s="3" t="str">
        <f t="shared" si="25"/>
        <v>黑石铺街道</v>
      </c>
      <c r="D69" s="3" t="str">
        <f t="shared" si="26"/>
        <v>创谷社区</v>
      </c>
      <c r="E69" s="3" t="str">
        <f t="shared" si="24"/>
        <v>140</v>
      </c>
      <c r="F69" s="3" t="str">
        <f t="shared" si="21"/>
        <v>100</v>
      </c>
      <c r="G69" s="3" t="str">
        <f t="shared" si="27"/>
        <v>二级</v>
      </c>
    </row>
    <row r="70" customHeight="1" spans="1:7">
      <c r="A70" s="3" t="str">
        <f>"2469"</f>
        <v>2469</v>
      </c>
      <c r="B70" s="3" t="s">
        <v>720</v>
      </c>
      <c r="C70" s="3" t="str">
        <f t="shared" si="25"/>
        <v>黑石铺街道</v>
      </c>
      <c r="D70" s="3" t="str">
        <f t="shared" si="26"/>
        <v>创谷社区</v>
      </c>
      <c r="E70" s="3" t="str">
        <f t="shared" si="24"/>
        <v>140</v>
      </c>
      <c r="F70" s="3" t="str">
        <f t="shared" si="21"/>
        <v>100</v>
      </c>
      <c r="G70" s="3" t="str">
        <f t="shared" si="27"/>
        <v>二级</v>
      </c>
    </row>
    <row r="71" customHeight="1" spans="1:7">
      <c r="A71" s="3" t="str">
        <f>"2470"</f>
        <v>2470</v>
      </c>
      <c r="B71" s="3" t="s">
        <v>1054</v>
      </c>
      <c r="C71" s="3" t="str">
        <f t="shared" si="25"/>
        <v>黑石铺街道</v>
      </c>
      <c r="D71" s="3" t="str">
        <f t="shared" si="26"/>
        <v>创谷社区</v>
      </c>
      <c r="E71" s="3" t="str">
        <f t="shared" si="24"/>
        <v>140</v>
      </c>
      <c r="F71" s="3" t="str">
        <f t="shared" si="21"/>
        <v>100</v>
      </c>
      <c r="G71" s="3" t="str">
        <f t="shared" si="27"/>
        <v>二级</v>
      </c>
    </row>
    <row r="72" customHeight="1" spans="1:7">
      <c r="A72" s="3" t="str">
        <f>"2471"</f>
        <v>2471</v>
      </c>
      <c r="B72" s="3" t="s">
        <v>454</v>
      </c>
      <c r="C72" s="3" t="str">
        <f t="shared" si="25"/>
        <v>黑石铺街道</v>
      </c>
      <c r="D72" s="3" t="str">
        <f t="shared" si="26"/>
        <v>创谷社区</v>
      </c>
      <c r="E72" s="3" t="str">
        <f t="shared" si="24"/>
        <v>140</v>
      </c>
      <c r="F72" s="3" t="str">
        <f t="shared" si="21"/>
        <v>100</v>
      </c>
      <c r="G72" s="3" t="str">
        <f t="shared" si="27"/>
        <v>二级</v>
      </c>
    </row>
    <row r="73" customHeight="1" spans="1:7">
      <c r="A73" s="3" t="str">
        <f>"2472"</f>
        <v>2472</v>
      </c>
      <c r="B73" s="3" t="s">
        <v>1700</v>
      </c>
      <c r="C73" s="3" t="str">
        <f>"裕南街街道"</f>
        <v>裕南街街道</v>
      </c>
      <c r="D73" s="3" t="str">
        <f>"长坡社区"</f>
        <v>长坡社区</v>
      </c>
      <c r="E73" s="3" t="str">
        <f t="shared" si="24"/>
        <v>140</v>
      </c>
      <c r="F73" s="3" t="str">
        <f t="shared" si="21"/>
        <v>100</v>
      </c>
      <c r="G73" s="3" t="str">
        <f t="shared" si="27"/>
        <v>二级</v>
      </c>
    </row>
    <row r="74" customHeight="1" spans="1:7">
      <c r="A74" s="3" t="str">
        <f>"2473"</f>
        <v>2473</v>
      </c>
      <c r="B74" s="3" t="s">
        <v>266</v>
      </c>
      <c r="C74" s="3" t="str">
        <f>"新开铺街道"</f>
        <v>新开铺街道</v>
      </c>
      <c r="D74" s="3" t="str">
        <f>"桥头社区"</f>
        <v>桥头社区</v>
      </c>
      <c r="E74" s="3" t="str">
        <f t="shared" si="24"/>
        <v>140</v>
      </c>
      <c r="F74" s="3" t="str">
        <f t="shared" si="21"/>
        <v>100</v>
      </c>
      <c r="G74" s="3" t="str">
        <f t="shared" si="27"/>
        <v>二级</v>
      </c>
    </row>
    <row r="75" customHeight="1" spans="1:7">
      <c r="A75" s="3" t="str">
        <f>"2474"</f>
        <v>2474</v>
      </c>
      <c r="B75" s="3" t="s">
        <v>693</v>
      </c>
      <c r="C75" s="3" t="str">
        <f t="shared" ref="C75:C78" si="28">"黑石铺街道"</f>
        <v>黑石铺街道</v>
      </c>
      <c r="D75" s="3" t="str">
        <f t="shared" ref="D75:D78" si="29">"创谷社区"</f>
        <v>创谷社区</v>
      </c>
      <c r="E75" s="3" t="str">
        <f t="shared" si="24"/>
        <v>140</v>
      </c>
      <c r="F75" s="3" t="str">
        <f t="shared" si="21"/>
        <v>100</v>
      </c>
      <c r="G75" s="3" t="str">
        <f t="shared" si="27"/>
        <v>二级</v>
      </c>
    </row>
    <row r="76" customHeight="1" spans="1:7">
      <c r="A76" s="3" t="str">
        <f>"2475"</f>
        <v>2475</v>
      </c>
      <c r="B76" s="3" t="s">
        <v>72</v>
      </c>
      <c r="C76" s="3" t="str">
        <f t="shared" si="28"/>
        <v>黑石铺街道</v>
      </c>
      <c r="D76" s="3" t="str">
        <f t="shared" si="29"/>
        <v>创谷社区</v>
      </c>
      <c r="E76" s="3" t="str">
        <f t="shared" si="24"/>
        <v>140</v>
      </c>
      <c r="F76" s="3" t="str">
        <f t="shared" si="21"/>
        <v>100</v>
      </c>
      <c r="G76" s="3" t="str">
        <f t="shared" si="27"/>
        <v>二级</v>
      </c>
    </row>
    <row r="77" customHeight="1" spans="1:7">
      <c r="A77" s="3" t="str">
        <f>"2476"</f>
        <v>2476</v>
      </c>
      <c r="B77" s="3" t="s">
        <v>1701</v>
      </c>
      <c r="C77" s="3" t="str">
        <f>"先锋街道"</f>
        <v>先锋街道</v>
      </c>
      <c r="D77" s="3" t="str">
        <f>"尚双塘社区"</f>
        <v>尚双塘社区</v>
      </c>
      <c r="E77" s="3" t="str">
        <f t="shared" si="24"/>
        <v>140</v>
      </c>
      <c r="F77" s="3" t="str">
        <f t="shared" si="21"/>
        <v>100</v>
      </c>
      <c r="G77" s="3" t="str">
        <f t="shared" si="27"/>
        <v>二级</v>
      </c>
    </row>
    <row r="78" customHeight="1" spans="1:7">
      <c r="A78" s="3" t="str">
        <f>"2477"</f>
        <v>2477</v>
      </c>
      <c r="B78" s="3" t="s">
        <v>1334</v>
      </c>
      <c r="C78" s="3" t="str">
        <f t="shared" si="28"/>
        <v>黑石铺街道</v>
      </c>
      <c r="D78" s="3" t="str">
        <f t="shared" si="29"/>
        <v>创谷社区</v>
      </c>
      <c r="E78" s="3" t="str">
        <f t="shared" si="24"/>
        <v>140</v>
      </c>
      <c r="F78" s="3" t="str">
        <f t="shared" si="21"/>
        <v>100</v>
      </c>
      <c r="G78" s="3" t="str">
        <f t="shared" si="27"/>
        <v>二级</v>
      </c>
    </row>
    <row r="79" customHeight="1" spans="1:7">
      <c r="A79" s="3" t="str">
        <f>"2478"</f>
        <v>2478</v>
      </c>
      <c r="B79" s="3" t="s">
        <v>267</v>
      </c>
      <c r="C79" s="3" t="str">
        <f>"青园街道"</f>
        <v>青园街道</v>
      </c>
      <c r="D79" s="3" t="str">
        <f>"友谊社区"</f>
        <v>友谊社区</v>
      </c>
      <c r="E79" s="3" t="str">
        <f t="shared" si="24"/>
        <v>140</v>
      </c>
      <c r="F79" s="3" t="str">
        <f t="shared" si="21"/>
        <v>100</v>
      </c>
      <c r="G79" s="3" t="str">
        <f t="shared" si="27"/>
        <v>二级</v>
      </c>
    </row>
    <row r="80" customHeight="1" spans="1:7">
      <c r="A80" s="3" t="str">
        <f>"2479"</f>
        <v>2479</v>
      </c>
      <c r="B80" s="3" t="s">
        <v>1702</v>
      </c>
      <c r="C80" s="3" t="str">
        <f>"坡子街街道"</f>
        <v>坡子街街道</v>
      </c>
      <c r="D80" s="3" t="str">
        <f>"坡子街社区"</f>
        <v>坡子街社区</v>
      </c>
      <c r="E80" s="3" t="str">
        <f t="shared" si="24"/>
        <v>140</v>
      </c>
      <c r="F80" s="3" t="str">
        <f>"0"</f>
        <v>0</v>
      </c>
      <c r="G80" s="3" t="str">
        <f>"四级"</f>
        <v>四级</v>
      </c>
    </row>
    <row r="81" customHeight="1" spans="1:7">
      <c r="A81" s="3" t="str">
        <f>"2480"</f>
        <v>2480</v>
      </c>
      <c r="B81" s="3" t="s">
        <v>1703</v>
      </c>
      <c r="C81" s="3" t="str">
        <f t="shared" ref="C81:C84" si="30">"裕南街街道"</f>
        <v>裕南街街道</v>
      </c>
      <c r="D81" s="3" t="str">
        <f>"向东南社区"</f>
        <v>向东南社区</v>
      </c>
      <c r="E81" s="3" t="str">
        <f t="shared" si="24"/>
        <v>140</v>
      </c>
      <c r="F81" s="3" t="str">
        <f t="shared" ref="F81:F83" si="31">"100"</f>
        <v>100</v>
      </c>
      <c r="G81" s="3" t="str">
        <f t="shared" ref="G81:G83" si="32">"二级"</f>
        <v>二级</v>
      </c>
    </row>
    <row r="82" customHeight="1" spans="1:7">
      <c r="A82" s="3" t="str">
        <f>"2481"</f>
        <v>2481</v>
      </c>
      <c r="B82" s="3" t="s">
        <v>558</v>
      </c>
      <c r="C82" s="3" t="str">
        <f t="shared" si="30"/>
        <v>裕南街街道</v>
      </c>
      <c r="D82" s="3" t="str">
        <f>"火把山社区"</f>
        <v>火把山社区</v>
      </c>
      <c r="E82" s="3" t="str">
        <f t="shared" si="24"/>
        <v>140</v>
      </c>
      <c r="F82" s="3" t="str">
        <f t="shared" si="31"/>
        <v>100</v>
      </c>
      <c r="G82" s="3" t="str">
        <f t="shared" si="32"/>
        <v>二级</v>
      </c>
    </row>
    <row r="83" customHeight="1" spans="1:7">
      <c r="A83" s="3" t="str">
        <f>"2482"</f>
        <v>2482</v>
      </c>
      <c r="B83" s="3" t="s">
        <v>1704</v>
      </c>
      <c r="C83" s="3" t="str">
        <f>"文源街道"</f>
        <v>文源街道</v>
      </c>
      <c r="D83" s="3" t="str">
        <f>"文源社区"</f>
        <v>文源社区</v>
      </c>
      <c r="E83" s="3" t="str">
        <f t="shared" si="24"/>
        <v>140</v>
      </c>
      <c r="F83" s="3" t="str">
        <f t="shared" si="31"/>
        <v>100</v>
      </c>
      <c r="G83" s="3" t="str">
        <f t="shared" si="32"/>
        <v>二级</v>
      </c>
    </row>
    <row r="84" customHeight="1" spans="1:7">
      <c r="A84" s="3" t="str">
        <f>"2483"</f>
        <v>2483</v>
      </c>
      <c r="B84" s="3" t="s">
        <v>41</v>
      </c>
      <c r="C84" s="3" t="str">
        <f t="shared" si="30"/>
        <v>裕南街街道</v>
      </c>
      <c r="D84" s="3" t="str">
        <f>"向东南社区"</f>
        <v>向东南社区</v>
      </c>
      <c r="E84" s="3" t="str">
        <f t="shared" si="24"/>
        <v>140</v>
      </c>
      <c r="F84" s="3" t="str">
        <f>"0"</f>
        <v>0</v>
      </c>
      <c r="G84" s="3" t="str">
        <f>"四级"</f>
        <v>四级</v>
      </c>
    </row>
    <row r="85" customHeight="1" spans="1:7">
      <c r="A85" s="3" t="str">
        <f>"2484"</f>
        <v>2484</v>
      </c>
      <c r="B85" s="3" t="s">
        <v>387</v>
      </c>
      <c r="C85" s="3" t="str">
        <f>"金盆岭街道"</f>
        <v>金盆岭街道</v>
      </c>
      <c r="D85" s="3" t="str">
        <f>"黄土岭社区"</f>
        <v>黄土岭社区</v>
      </c>
      <c r="E85" s="3" t="str">
        <f t="shared" si="24"/>
        <v>140</v>
      </c>
      <c r="F85" s="3" t="str">
        <f t="shared" ref="F85:F103" si="33">"100"</f>
        <v>100</v>
      </c>
      <c r="G85" s="3" t="str">
        <f>"二级"</f>
        <v>二级</v>
      </c>
    </row>
    <row r="86" customHeight="1" spans="1:7">
      <c r="A86" s="3" t="str">
        <f>"2485"</f>
        <v>2485</v>
      </c>
      <c r="B86" s="3" t="s">
        <v>1705</v>
      </c>
      <c r="C86" s="3" t="str">
        <f>"大托铺街道"</f>
        <v>大托铺街道</v>
      </c>
      <c r="D86" s="3" t="str">
        <f>"桂井村委会"</f>
        <v>桂井村委会</v>
      </c>
      <c r="E86" s="3" t="str">
        <f t="shared" si="24"/>
        <v>140</v>
      </c>
      <c r="F86" s="3" t="str">
        <f t="shared" si="33"/>
        <v>100</v>
      </c>
      <c r="G86" s="3" t="str">
        <f t="shared" ref="G86:G88" si="34">"一级"</f>
        <v>一级</v>
      </c>
    </row>
    <row r="87" customHeight="1" spans="1:7">
      <c r="A87" s="3" t="str">
        <f>"2486"</f>
        <v>2486</v>
      </c>
      <c r="B87" s="3" t="s">
        <v>1706</v>
      </c>
      <c r="C87" s="3" t="str">
        <f>"青园街道"</f>
        <v>青园街道</v>
      </c>
      <c r="D87" s="3" t="str">
        <f>"井湾子社区"</f>
        <v>井湾子社区</v>
      </c>
      <c r="E87" s="3" t="str">
        <f t="shared" si="24"/>
        <v>140</v>
      </c>
      <c r="F87" s="3" t="str">
        <f t="shared" si="33"/>
        <v>100</v>
      </c>
      <c r="G87" s="3" t="str">
        <f t="shared" si="34"/>
        <v>一级</v>
      </c>
    </row>
    <row r="88" customHeight="1" spans="1:7">
      <c r="A88" s="3" t="str">
        <f>"2487"</f>
        <v>2487</v>
      </c>
      <c r="B88" s="3" t="s">
        <v>1006</v>
      </c>
      <c r="C88" s="3" t="str">
        <f t="shared" ref="C88:C90" si="35">"暮云街道"</f>
        <v>暮云街道</v>
      </c>
      <c r="D88" s="3" t="str">
        <f>"丽发社区"</f>
        <v>丽发社区</v>
      </c>
      <c r="E88" s="3" t="str">
        <f t="shared" si="24"/>
        <v>140</v>
      </c>
      <c r="F88" s="3" t="str">
        <f t="shared" si="33"/>
        <v>100</v>
      </c>
      <c r="G88" s="3" t="str">
        <f t="shared" si="34"/>
        <v>一级</v>
      </c>
    </row>
    <row r="89" customHeight="1" spans="1:7">
      <c r="A89" s="3" t="str">
        <f>"2488"</f>
        <v>2488</v>
      </c>
      <c r="B89" s="3" t="s">
        <v>1707</v>
      </c>
      <c r="C89" s="3" t="str">
        <f t="shared" si="35"/>
        <v>暮云街道</v>
      </c>
      <c r="D89" s="3" t="str">
        <f>"弘高社区"</f>
        <v>弘高社区</v>
      </c>
      <c r="E89" s="3" t="str">
        <f t="shared" si="24"/>
        <v>140</v>
      </c>
      <c r="F89" s="3" t="str">
        <f t="shared" si="33"/>
        <v>100</v>
      </c>
      <c r="G89" s="3" t="str">
        <f t="shared" ref="G89:G92" si="36">"二级"</f>
        <v>二级</v>
      </c>
    </row>
    <row r="90" customHeight="1" spans="1:7">
      <c r="A90" s="3" t="str">
        <f>"2489"</f>
        <v>2489</v>
      </c>
      <c r="B90" s="3" t="s">
        <v>1708</v>
      </c>
      <c r="C90" s="3" t="str">
        <f t="shared" si="35"/>
        <v>暮云街道</v>
      </c>
      <c r="D90" s="3" t="str">
        <f>"丽发社区"</f>
        <v>丽发社区</v>
      </c>
      <c r="E90" s="3" t="str">
        <f t="shared" si="24"/>
        <v>140</v>
      </c>
      <c r="F90" s="3" t="str">
        <f t="shared" si="33"/>
        <v>100</v>
      </c>
      <c r="G90" s="3" t="str">
        <f t="shared" ref="G90:G95" si="37">"一级"</f>
        <v>一级</v>
      </c>
    </row>
    <row r="91" customHeight="1" spans="1:7">
      <c r="A91" s="3" t="str">
        <f>"2490"</f>
        <v>2490</v>
      </c>
      <c r="B91" s="3" t="s">
        <v>1709</v>
      </c>
      <c r="C91" s="3" t="str">
        <f>"裕南街街道"</f>
        <v>裕南街街道</v>
      </c>
      <c r="D91" s="3" t="str">
        <f>"东瓜山社区"</f>
        <v>东瓜山社区</v>
      </c>
      <c r="E91" s="3" t="str">
        <f t="shared" si="24"/>
        <v>140</v>
      </c>
      <c r="F91" s="3" t="str">
        <f t="shared" si="33"/>
        <v>100</v>
      </c>
      <c r="G91" s="3" t="str">
        <f t="shared" si="36"/>
        <v>二级</v>
      </c>
    </row>
    <row r="92" customHeight="1" spans="1:7">
      <c r="A92" s="3" t="str">
        <f>"2491"</f>
        <v>2491</v>
      </c>
      <c r="B92" s="3" t="s">
        <v>1710</v>
      </c>
      <c r="C92" s="3" t="str">
        <f>"新开铺街道"</f>
        <v>新开铺街道</v>
      </c>
      <c r="D92" s="3" t="str">
        <f>"新开铺社区"</f>
        <v>新开铺社区</v>
      </c>
      <c r="E92" s="3" t="str">
        <f t="shared" si="24"/>
        <v>140</v>
      </c>
      <c r="F92" s="3" t="str">
        <f t="shared" si="33"/>
        <v>100</v>
      </c>
      <c r="G92" s="3" t="str">
        <f t="shared" si="36"/>
        <v>二级</v>
      </c>
    </row>
    <row r="93" customHeight="1" spans="1:7">
      <c r="A93" s="3" t="str">
        <f>"2492"</f>
        <v>2492</v>
      </c>
      <c r="B93" s="3" t="s">
        <v>1672</v>
      </c>
      <c r="C93" s="3" t="str">
        <f>"新开铺街道"</f>
        <v>新开铺街道</v>
      </c>
      <c r="D93" s="3" t="str">
        <f>"新开铺社区"</f>
        <v>新开铺社区</v>
      </c>
      <c r="E93" s="3" t="str">
        <f t="shared" si="24"/>
        <v>140</v>
      </c>
      <c r="F93" s="3" t="str">
        <f t="shared" si="33"/>
        <v>100</v>
      </c>
      <c r="G93" s="3" t="str">
        <f t="shared" si="37"/>
        <v>一级</v>
      </c>
    </row>
    <row r="94" customHeight="1" spans="1:7">
      <c r="A94" s="3" t="str">
        <f>"2493"</f>
        <v>2493</v>
      </c>
      <c r="B94" s="3" t="s">
        <v>1711</v>
      </c>
      <c r="C94" s="3" t="str">
        <f t="shared" ref="C94:C97" si="38">"赤岭路街道"</f>
        <v>赤岭路街道</v>
      </c>
      <c r="D94" s="3" t="str">
        <f>"猴子石社区"</f>
        <v>猴子石社区</v>
      </c>
      <c r="E94" s="3" t="str">
        <f t="shared" si="24"/>
        <v>140</v>
      </c>
      <c r="F94" s="3" t="str">
        <f t="shared" si="33"/>
        <v>100</v>
      </c>
      <c r="G94" s="3" t="str">
        <f t="shared" ref="G94:G97" si="39">"二级"</f>
        <v>二级</v>
      </c>
    </row>
    <row r="95" customHeight="1" spans="1:7">
      <c r="A95" s="3" t="str">
        <f>"2494"</f>
        <v>2494</v>
      </c>
      <c r="B95" s="3" t="s">
        <v>1712</v>
      </c>
      <c r="C95" s="3" t="str">
        <f>"文源街道"</f>
        <v>文源街道</v>
      </c>
      <c r="D95" s="3" t="str">
        <f>"文源社区"</f>
        <v>文源社区</v>
      </c>
      <c r="E95" s="3" t="str">
        <f t="shared" si="24"/>
        <v>140</v>
      </c>
      <c r="F95" s="3" t="str">
        <f t="shared" si="33"/>
        <v>100</v>
      </c>
      <c r="G95" s="3" t="str">
        <f t="shared" si="37"/>
        <v>一级</v>
      </c>
    </row>
    <row r="96" customHeight="1" spans="1:7">
      <c r="A96" s="3" t="str">
        <f>"2495"</f>
        <v>2495</v>
      </c>
      <c r="B96" s="3" t="s">
        <v>1713</v>
      </c>
      <c r="C96" s="3" t="str">
        <f t="shared" si="38"/>
        <v>赤岭路街道</v>
      </c>
      <c r="D96" s="3" t="str">
        <f>"芙蓉南路社区"</f>
        <v>芙蓉南路社区</v>
      </c>
      <c r="E96" s="3" t="str">
        <f t="shared" si="24"/>
        <v>140</v>
      </c>
      <c r="F96" s="3" t="str">
        <f t="shared" si="33"/>
        <v>100</v>
      </c>
      <c r="G96" s="3" t="str">
        <f t="shared" si="39"/>
        <v>二级</v>
      </c>
    </row>
    <row r="97" customHeight="1" spans="1:7">
      <c r="A97" s="3" t="str">
        <f>"2496"</f>
        <v>2496</v>
      </c>
      <c r="B97" s="3" t="s">
        <v>1714</v>
      </c>
      <c r="C97" s="3" t="str">
        <f t="shared" si="38"/>
        <v>赤岭路街道</v>
      </c>
      <c r="D97" s="3" t="str">
        <f>"芙蓉南路社区"</f>
        <v>芙蓉南路社区</v>
      </c>
      <c r="E97" s="3" t="str">
        <f t="shared" si="24"/>
        <v>140</v>
      </c>
      <c r="F97" s="3" t="str">
        <f t="shared" si="33"/>
        <v>100</v>
      </c>
      <c r="G97" s="3" t="str">
        <f t="shared" si="39"/>
        <v>二级</v>
      </c>
    </row>
    <row r="98" customHeight="1" spans="1:7">
      <c r="A98" s="3" t="str">
        <f>"2497"</f>
        <v>2497</v>
      </c>
      <c r="B98" s="3" t="s">
        <v>1715</v>
      </c>
      <c r="C98" s="3" t="str">
        <f>"先锋街道"</f>
        <v>先锋街道</v>
      </c>
      <c r="D98" s="3" t="str">
        <f>"嘉和社区"</f>
        <v>嘉和社区</v>
      </c>
      <c r="E98" s="3" t="str">
        <f t="shared" si="24"/>
        <v>140</v>
      </c>
      <c r="F98" s="3" t="str">
        <f t="shared" si="33"/>
        <v>100</v>
      </c>
      <c r="G98" s="3" t="str">
        <f t="shared" ref="G98:G101" si="40">"一级"</f>
        <v>一级</v>
      </c>
    </row>
    <row r="99" customHeight="1" spans="1:7">
      <c r="A99" s="3" t="str">
        <f>"2498"</f>
        <v>2498</v>
      </c>
      <c r="B99" s="3" t="s">
        <v>1716</v>
      </c>
      <c r="C99" s="3" t="str">
        <f>"桂花坪街道"</f>
        <v>桂花坪街道</v>
      </c>
      <c r="D99" s="3" t="str">
        <f>"新园社区"</f>
        <v>新园社区</v>
      </c>
      <c r="E99" s="3" t="str">
        <f t="shared" si="24"/>
        <v>140</v>
      </c>
      <c r="F99" s="3" t="str">
        <f t="shared" si="33"/>
        <v>100</v>
      </c>
      <c r="G99" s="3" t="str">
        <f>"二级"</f>
        <v>二级</v>
      </c>
    </row>
    <row r="100" customHeight="1" spans="1:7">
      <c r="A100" s="3" t="str">
        <f>"2499"</f>
        <v>2499</v>
      </c>
      <c r="B100" s="3" t="s">
        <v>1717</v>
      </c>
      <c r="C100" s="3" t="str">
        <f>"桂花坪街道"</f>
        <v>桂花坪街道</v>
      </c>
      <c r="D100" s="3" t="str">
        <f>"新园社区"</f>
        <v>新园社区</v>
      </c>
      <c r="E100" s="3" t="str">
        <f t="shared" si="24"/>
        <v>140</v>
      </c>
      <c r="F100" s="3" t="str">
        <f t="shared" si="33"/>
        <v>100</v>
      </c>
      <c r="G100" s="3" t="str">
        <f t="shared" si="40"/>
        <v>一级</v>
      </c>
    </row>
    <row r="101" customHeight="1" spans="1:7">
      <c r="A101" s="3" t="str">
        <f>"2500"</f>
        <v>2500</v>
      </c>
      <c r="B101" s="3" t="s">
        <v>1718</v>
      </c>
      <c r="C101" s="3" t="str">
        <f>"城南路街道"</f>
        <v>城南路街道</v>
      </c>
      <c r="D101" s="3" t="str">
        <f>"熙台岭社区"</f>
        <v>熙台岭社区</v>
      </c>
      <c r="E101" s="3" t="str">
        <f t="shared" si="24"/>
        <v>140</v>
      </c>
      <c r="F101" s="3" t="str">
        <f t="shared" si="33"/>
        <v>100</v>
      </c>
      <c r="G101" s="3" t="str">
        <f t="shared" si="40"/>
        <v>一级</v>
      </c>
    </row>
    <row r="102" customHeight="1" spans="1:7">
      <c r="A102" s="3" t="str">
        <f>"2501"</f>
        <v>2501</v>
      </c>
      <c r="B102" s="3" t="s">
        <v>1719</v>
      </c>
      <c r="C102" s="3" t="str">
        <f>"新开铺街道"</f>
        <v>新开铺街道</v>
      </c>
      <c r="D102" s="3" t="str">
        <f>"新开铺社区"</f>
        <v>新开铺社区</v>
      </c>
      <c r="E102" s="3" t="str">
        <f t="shared" si="24"/>
        <v>140</v>
      </c>
      <c r="F102" s="3" t="str">
        <f t="shared" si="33"/>
        <v>100</v>
      </c>
      <c r="G102" s="3" t="str">
        <f>"二级"</f>
        <v>二级</v>
      </c>
    </row>
    <row r="103" customHeight="1" spans="1:7">
      <c r="A103" s="3" t="str">
        <f>"2502"</f>
        <v>2502</v>
      </c>
      <c r="B103" s="3" t="s">
        <v>1720</v>
      </c>
      <c r="C103" s="3" t="str">
        <f>"坡子街街道"</f>
        <v>坡子街街道</v>
      </c>
      <c r="D103" s="3" t="str">
        <f>"登仁桥社区"</f>
        <v>登仁桥社区</v>
      </c>
      <c r="E103" s="3" t="str">
        <f t="shared" si="24"/>
        <v>140</v>
      </c>
      <c r="F103" s="3" t="str">
        <f t="shared" si="33"/>
        <v>100</v>
      </c>
      <c r="G103" s="3" t="str">
        <f t="shared" ref="G103:G110" si="41">"一级"</f>
        <v>一级</v>
      </c>
    </row>
    <row r="104" customHeight="1" spans="1:7">
      <c r="A104" s="3" t="str">
        <f>"2503"</f>
        <v>2503</v>
      </c>
      <c r="B104" s="3" t="s">
        <v>20</v>
      </c>
      <c r="C104" s="3" t="str">
        <f>"大托铺街道"</f>
        <v>大托铺街道</v>
      </c>
      <c r="D104" s="3" t="str">
        <f>"兴隆村委会"</f>
        <v>兴隆村委会</v>
      </c>
      <c r="E104" s="3" t="str">
        <f t="shared" si="24"/>
        <v>140</v>
      </c>
      <c r="F104" s="3" t="str">
        <f>"0"</f>
        <v>0</v>
      </c>
      <c r="G104" s="3" t="str">
        <f>"三级"</f>
        <v>三级</v>
      </c>
    </row>
    <row r="105" customHeight="1" spans="1:7">
      <c r="A105" s="3" t="str">
        <f>"2504"</f>
        <v>2504</v>
      </c>
      <c r="B105" s="3" t="s">
        <v>1721</v>
      </c>
      <c r="C105" s="3" t="str">
        <f>"大托铺街道"</f>
        <v>大托铺街道</v>
      </c>
      <c r="D105" s="3" t="str">
        <f>"黄合村委会"</f>
        <v>黄合村委会</v>
      </c>
      <c r="E105" s="3" t="str">
        <f t="shared" si="24"/>
        <v>140</v>
      </c>
      <c r="F105" s="3" t="str">
        <f t="shared" ref="F105:F115" si="42">"100"</f>
        <v>100</v>
      </c>
      <c r="G105" s="3" t="str">
        <f t="shared" si="41"/>
        <v>一级</v>
      </c>
    </row>
    <row r="106" customHeight="1" spans="1:7">
      <c r="A106" s="3" t="str">
        <f>"2505"</f>
        <v>2505</v>
      </c>
      <c r="B106" s="3" t="s">
        <v>1722</v>
      </c>
      <c r="C106" s="3" t="str">
        <f>"城南路街道"</f>
        <v>城南路街道</v>
      </c>
      <c r="D106" s="3" t="str">
        <f>"白沙井社区"</f>
        <v>白沙井社区</v>
      </c>
      <c r="E106" s="3" t="str">
        <f t="shared" si="24"/>
        <v>140</v>
      </c>
      <c r="F106" s="3" t="str">
        <f>"0"</f>
        <v>0</v>
      </c>
      <c r="G106" s="3" t="str">
        <f>"四级"</f>
        <v>四级</v>
      </c>
    </row>
    <row r="107" customHeight="1" spans="1:7">
      <c r="A107" s="3" t="str">
        <f>"2506"</f>
        <v>2506</v>
      </c>
      <c r="B107" s="3" t="s">
        <v>296</v>
      </c>
      <c r="C107" s="3" t="str">
        <f>"南托街道"</f>
        <v>南托街道</v>
      </c>
      <c r="D107" s="3" t="str">
        <f>"牛角塘村"</f>
        <v>牛角塘村</v>
      </c>
      <c r="E107" s="3" t="str">
        <f t="shared" si="24"/>
        <v>140</v>
      </c>
      <c r="F107" s="3" t="str">
        <f t="shared" si="42"/>
        <v>100</v>
      </c>
      <c r="G107" s="3" t="str">
        <f t="shared" si="41"/>
        <v>一级</v>
      </c>
    </row>
    <row r="108" customHeight="1" spans="1:7">
      <c r="A108" s="3" t="str">
        <f>"2507"</f>
        <v>2507</v>
      </c>
      <c r="B108" s="3" t="s">
        <v>616</v>
      </c>
      <c r="C108" s="3" t="str">
        <f t="shared" ref="C108:C110" si="43">"裕南街街道"</f>
        <v>裕南街街道</v>
      </c>
      <c r="D108" s="3" t="str">
        <f>"裕南街社区"</f>
        <v>裕南街社区</v>
      </c>
      <c r="E108" s="3" t="str">
        <f t="shared" si="24"/>
        <v>140</v>
      </c>
      <c r="F108" s="3" t="str">
        <f t="shared" si="42"/>
        <v>100</v>
      </c>
      <c r="G108" s="3" t="str">
        <f t="shared" si="41"/>
        <v>一级</v>
      </c>
    </row>
    <row r="109" customHeight="1" spans="1:7">
      <c r="A109" s="3" t="str">
        <f>"2508"</f>
        <v>2508</v>
      </c>
      <c r="B109" s="3" t="s">
        <v>1723</v>
      </c>
      <c r="C109" s="3" t="str">
        <f t="shared" si="43"/>
        <v>裕南街街道</v>
      </c>
      <c r="D109" s="3" t="str">
        <f>"东瓜山社区"</f>
        <v>东瓜山社区</v>
      </c>
      <c r="E109" s="3" t="str">
        <f t="shared" si="24"/>
        <v>140</v>
      </c>
      <c r="F109" s="3" t="str">
        <f t="shared" si="42"/>
        <v>100</v>
      </c>
      <c r="G109" s="3" t="str">
        <f t="shared" si="41"/>
        <v>一级</v>
      </c>
    </row>
    <row r="110" customHeight="1" spans="1:7">
      <c r="A110" s="3" t="str">
        <f>"2509"</f>
        <v>2509</v>
      </c>
      <c r="B110" s="3" t="s">
        <v>1724</v>
      </c>
      <c r="C110" s="3" t="str">
        <f t="shared" si="43"/>
        <v>裕南街街道</v>
      </c>
      <c r="D110" s="3" t="str">
        <f>"宝塔山社区"</f>
        <v>宝塔山社区</v>
      </c>
      <c r="E110" s="3" t="str">
        <f t="shared" si="24"/>
        <v>140</v>
      </c>
      <c r="F110" s="3" t="str">
        <f t="shared" si="42"/>
        <v>100</v>
      </c>
      <c r="G110" s="3" t="str">
        <f t="shared" si="41"/>
        <v>一级</v>
      </c>
    </row>
    <row r="111" customHeight="1" spans="1:7">
      <c r="A111" s="3" t="str">
        <f>"2510"</f>
        <v>2510</v>
      </c>
      <c r="B111" s="3" t="s">
        <v>1725</v>
      </c>
      <c r="C111" s="3" t="str">
        <f>"大托铺街道"</f>
        <v>大托铺街道</v>
      </c>
      <c r="D111" s="3" t="str">
        <f>"大托村委会"</f>
        <v>大托村委会</v>
      </c>
      <c r="E111" s="3" t="str">
        <f t="shared" si="24"/>
        <v>140</v>
      </c>
      <c r="F111" s="3" t="str">
        <f t="shared" si="42"/>
        <v>100</v>
      </c>
      <c r="G111" s="3" t="str">
        <f t="shared" ref="G111:G113" si="44">"二级"</f>
        <v>二级</v>
      </c>
    </row>
    <row r="112" customHeight="1" spans="1:7">
      <c r="A112" s="3" t="str">
        <f>"2511"</f>
        <v>2511</v>
      </c>
      <c r="B112" s="3" t="s">
        <v>428</v>
      </c>
      <c r="C112" s="3" t="str">
        <f>"青园街道"</f>
        <v>青园街道</v>
      </c>
      <c r="D112" s="3" t="str">
        <f>"青园社区"</f>
        <v>青园社区</v>
      </c>
      <c r="E112" s="3" t="str">
        <f t="shared" si="24"/>
        <v>140</v>
      </c>
      <c r="F112" s="3" t="str">
        <f t="shared" si="42"/>
        <v>100</v>
      </c>
      <c r="G112" s="3" t="str">
        <f t="shared" si="44"/>
        <v>二级</v>
      </c>
    </row>
    <row r="113" customHeight="1" spans="1:7">
      <c r="A113" s="3" t="str">
        <f>"2512"</f>
        <v>2512</v>
      </c>
      <c r="B113" s="3" t="s">
        <v>1726</v>
      </c>
      <c r="C113" s="3" t="str">
        <f t="shared" ref="C113:C117" si="45">"坡子街街道"</f>
        <v>坡子街街道</v>
      </c>
      <c r="D113" s="3" t="str">
        <f>"坡子街社区"</f>
        <v>坡子街社区</v>
      </c>
      <c r="E113" s="3" t="str">
        <f t="shared" si="24"/>
        <v>140</v>
      </c>
      <c r="F113" s="3" t="str">
        <f t="shared" si="42"/>
        <v>100</v>
      </c>
      <c r="G113" s="3" t="str">
        <f t="shared" si="44"/>
        <v>二级</v>
      </c>
    </row>
    <row r="114" customHeight="1" spans="1:7">
      <c r="A114" s="3" t="str">
        <f>"2513"</f>
        <v>2513</v>
      </c>
      <c r="B114" s="3" t="s">
        <v>1727</v>
      </c>
      <c r="C114" s="3" t="str">
        <f>"大托铺街道"</f>
        <v>大托铺街道</v>
      </c>
      <c r="D114" s="3" t="str">
        <f>"桂井村委会"</f>
        <v>桂井村委会</v>
      </c>
      <c r="E114" s="3" t="str">
        <f t="shared" si="24"/>
        <v>140</v>
      </c>
      <c r="F114" s="3" t="str">
        <f t="shared" si="42"/>
        <v>100</v>
      </c>
      <c r="G114" s="3" t="str">
        <f>"一级"</f>
        <v>一级</v>
      </c>
    </row>
    <row r="115" customHeight="1" spans="1:7">
      <c r="A115" s="3" t="str">
        <f>"2514"</f>
        <v>2514</v>
      </c>
      <c r="B115" s="3" t="s">
        <v>135</v>
      </c>
      <c r="C115" s="3" t="str">
        <f t="shared" si="45"/>
        <v>坡子街街道</v>
      </c>
      <c r="D115" s="3" t="str">
        <f>"青山祠社区"</f>
        <v>青山祠社区</v>
      </c>
      <c r="E115" s="3" t="str">
        <f t="shared" si="24"/>
        <v>140</v>
      </c>
      <c r="F115" s="3" t="str">
        <f t="shared" si="42"/>
        <v>100</v>
      </c>
      <c r="G115" s="3" t="str">
        <f t="shared" ref="G115:G122" si="46">"二级"</f>
        <v>二级</v>
      </c>
    </row>
    <row r="116" customHeight="1" spans="1:7">
      <c r="A116" s="3" t="str">
        <f>"2515"</f>
        <v>2515</v>
      </c>
      <c r="B116" s="3" t="s">
        <v>1728</v>
      </c>
      <c r="C116" s="3" t="str">
        <f t="shared" ref="C116:C122" si="47">"裕南街街道"</f>
        <v>裕南街街道</v>
      </c>
      <c r="D116" s="3" t="str">
        <f>"向东南社区"</f>
        <v>向东南社区</v>
      </c>
      <c r="E116" s="3" t="str">
        <f t="shared" si="24"/>
        <v>140</v>
      </c>
      <c r="F116" s="3" t="str">
        <f>"0"</f>
        <v>0</v>
      </c>
      <c r="G116" s="3" t="str">
        <f>"四级"</f>
        <v>四级</v>
      </c>
    </row>
    <row r="117" customHeight="1" spans="1:7">
      <c r="A117" s="3" t="str">
        <f>"2516"</f>
        <v>2516</v>
      </c>
      <c r="B117" s="3" t="s">
        <v>1729</v>
      </c>
      <c r="C117" s="3" t="str">
        <f t="shared" si="45"/>
        <v>坡子街街道</v>
      </c>
      <c r="D117" s="3" t="str">
        <f>"文庙坪社区"</f>
        <v>文庙坪社区</v>
      </c>
      <c r="E117" s="3" t="str">
        <f t="shared" si="24"/>
        <v>140</v>
      </c>
      <c r="F117" s="3" t="str">
        <f t="shared" ref="F117:F124" si="48">"100"</f>
        <v>100</v>
      </c>
      <c r="G117" s="3" t="str">
        <f t="shared" si="46"/>
        <v>二级</v>
      </c>
    </row>
    <row r="118" customHeight="1" spans="1:7">
      <c r="A118" s="3" t="str">
        <f>"2517"</f>
        <v>2517</v>
      </c>
      <c r="B118" s="3" t="s">
        <v>1730</v>
      </c>
      <c r="C118" s="3" t="str">
        <f>"赤岭路街道"</f>
        <v>赤岭路街道</v>
      </c>
      <c r="D118" s="3" t="str">
        <f>"猴子石社区"</f>
        <v>猴子石社区</v>
      </c>
      <c r="E118" s="3" t="str">
        <f t="shared" si="24"/>
        <v>140</v>
      </c>
      <c r="F118" s="3" t="str">
        <f t="shared" si="48"/>
        <v>100</v>
      </c>
      <c r="G118" s="3" t="str">
        <f t="shared" si="46"/>
        <v>二级</v>
      </c>
    </row>
    <row r="119" customHeight="1" spans="1:7">
      <c r="A119" s="3" t="str">
        <f>"2518"</f>
        <v>2518</v>
      </c>
      <c r="B119" s="3" t="s">
        <v>1731</v>
      </c>
      <c r="C119" s="3" t="str">
        <f t="shared" si="47"/>
        <v>裕南街街道</v>
      </c>
      <c r="D119" s="3" t="str">
        <f>"宝塔山社区"</f>
        <v>宝塔山社区</v>
      </c>
      <c r="E119" s="3" t="str">
        <f t="shared" si="24"/>
        <v>140</v>
      </c>
      <c r="F119" s="3" t="str">
        <f t="shared" si="48"/>
        <v>100</v>
      </c>
      <c r="G119" s="3" t="str">
        <f t="shared" si="46"/>
        <v>二级</v>
      </c>
    </row>
    <row r="120" customHeight="1" spans="1:7">
      <c r="A120" s="3" t="str">
        <f>"2519"</f>
        <v>2519</v>
      </c>
      <c r="B120" s="3" t="s">
        <v>1225</v>
      </c>
      <c r="C120" s="3" t="str">
        <f>"坡子街街道"</f>
        <v>坡子街街道</v>
      </c>
      <c r="D120" s="3" t="str">
        <f>"楚湘社区"</f>
        <v>楚湘社区</v>
      </c>
      <c r="E120" s="3" t="str">
        <f t="shared" si="24"/>
        <v>140</v>
      </c>
      <c r="F120" s="3" t="str">
        <f t="shared" si="48"/>
        <v>100</v>
      </c>
      <c r="G120" s="3" t="str">
        <f t="shared" si="46"/>
        <v>二级</v>
      </c>
    </row>
    <row r="121" customHeight="1" spans="1:7">
      <c r="A121" s="3" t="str">
        <f>"2520"</f>
        <v>2520</v>
      </c>
      <c r="B121" s="3" t="s">
        <v>1732</v>
      </c>
      <c r="C121" s="3" t="str">
        <f t="shared" si="47"/>
        <v>裕南街街道</v>
      </c>
      <c r="D121" s="3" t="str">
        <f>"石子冲社区"</f>
        <v>石子冲社区</v>
      </c>
      <c r="E121" s="3" t="str">
        <f t="shared" si="24"/>
        <v>140</v>
      </c>
      <c r="F121" s="3" t="str">
        <f t="shared" si="48"/>
        <v>100</v>
      </c>
      <c r="G121" s="3" t="str">
        <f t="shared" si="46"/>
        <v>二级</v>
      </c>
    </row>
    <row r="122" customHeight="1" spans="1:7">
      <c r="A122" s="3" t="str">
        <f>"2521"</f>
        <v>2521</v>
      </c>
      <c r="B122" s="3" t="s">
        <v>1733</v>
      </c>
      <c r="C122" s="3" t="str">
        <f t="shared" si="47"/>
        <v>裕南街街道</v>
      </c>
      <c r="D122" s="3" t="str">
        <f>"长坡社区"</f>
        <v>长坡社区</v>
      </c>
      <c r="E122" s="3" t="str">
        <f t="shared" si="24"/>
        <v>140</v>
      </c>
      <c r="F122" s="3" t="str">
        <f t="shared" si="48"/>
        <v>100</v>
      </c>
      <c r="G122" s="3" t="str">
        <f t="shared" si="46"/>
        <v>二级</v>
      </c>
    </row>
    <row r="123" customHeight="1" spans="1:7">
      <c r="A123" s="3" t="str">
        <f>"2522"</f>
        <v>2522</v>
      </c>
      <c r="B123" s="3" t="s">
        <v>1734</v>
      </c>
      <c r="C123" s="3" t="str">
        <f>"桂花坪街道"</f>
        <v>桂花坪街道</v>
      </c>
      <c r="D123" s="3" t="str">
        <f>"新园社区"</f>
        <v>新园社区</v>
      </c>
      <c r="E123" s="3" t="str">
        <f t="shared" si="24"/>
        <v>140</v>
      </c>
      <c r="F123" s="3" t="str">
        <f t="shared" si="48"/>
        <v>100</v>
      </c>
      <c r="G123" s="3" t="str">
        <f>"一级"</f>
        <v>一级</v>
      </c>
    </row>
    <row r="124" customHeight="1" spans="1:7">
      <c r="A124" s="3" t="str">
        <f>"2523"</f>
        <v>2523</v>
      </c>
      <c r="B124" s="3" t="s">
        <v>1735</v>
      </c>
      <c r="C124" s="3" t="str">
        <f>"暮云街道"</f>
        <v>暮云街道</v>
      </c>
      <c r="D124" s="3" t="str">
        <f>"暮云社区"</f>
        <v>暮云社区</v>
      </c>
      <c r="E124" s="3" t="str">
        <f t="shared" si="24"/>
        <v>140</v>
      </c>
      <c r="F124" s="3" t="str">
        <f t="shared" si="48"/>
        <v>100</v>
      </c>
      <c r="G124" s="3" t="str">
        <f>"一级"</f>
        <v>一级</v>
      </c>
    </row>
    <row r="125" customHeight="1" spans="1:7">
      <c r="A125" s="3" t="str">
        <f>"2524"</f>
        <v>2524</v>
      </c>
      <c r="B125" s="3" t="s">
        <v>139</v>
      </c>
      <c r="C125" s="3" t="str">
        <f t="shared" ref="C125:C130" si="49">"坡子街街道"</f>
        <v>坡子街街道</v>
      </c>
      <c r="D125" s="3" t="str">
        <f>"坡子街社区"</f>
        <v>坡子街社区</v>
      </c>
      <c r="E125" s="3" t="str">
        <f t="shared" si="24"/>
        <v>140</v>
      </c>
      <c r="F125" s="3" t="str">
        <f>"0"</f>
        <v>0</v>
      </c>
      <c r="G125" s="3" t="str">
        <f>"三级"</f>
        <v>三级</v>
      </c>
    </row>
    <row r="126" customHeight="1" spans="1:7">
      <c r="A126" s="3" t="str">
        <f>"2525"</f>
        <v>2525</v>
      </c>
      <c r="B126" s="3" t="s">
        <v>352</v>
      </c>
      <c r="C126" s="3" t="str">
        <f t="shared" si="49"/>
        <v>坡子街街道</v>
      </c>
      <c r="D126" s="3" t="str">
        <f>"坡子街社区"</f>
        <v>坡子街社区</v>
      </c>
      <c r="E126" s="3" t="str">
        <f t="shared" si="24"/>
        <v>140</v>
      </c>
      <c r="F126" s="3" t="str">
        <f t="shared" ref="F126:F161" si="50">"100"</f>
        <v>100</v>
      </c>
      <c r="G126" s="3" t="str">
        <f t="shared" ref="G126:G129" si="51">"二级"</f>
        <v>二级</v>
      </c>
    </row>
    <row r="127" customHeight="1" spans="1:7">
      <c r="A127" s="3" t="str">
        <f>"2526"</f>
        <v>2526</v>
      </c>
      <c r="B127" s="3" t="s">
        <v>1736</v>
      </c>
      <c r="C127" s="3" t="str">
        <f>"桂花坪街道"</f>
        <v>桂花坪街道</v>
      </c>
      <c r="D127" s="3" t="str">
        <f>"金桂社区"</f>
        <v>金桂社区</v>
      </c>
      <c r="E127" s="3" t="str">
        <f t="shared" si="24"/>
        <v>140</v>
      </c>
      <c r="F127" s="3" t="str">
        <f t="shared" si="50"/>
        <v>100</v>
      </c>
      <c r="G127" s="3" t="str">
        <f t="shared" si="51"/>
        <v>二级</v>
      </c>
    </row>
    <row r="128" customHeight="1" spans="1:7">
      <c r="A128" s="3" t="str">
        <f>"2527"</f>
        <v>2527</v>
      </c>
      <c r="B128" s="3" t="s">
        <v>1737</v>
      </c>
      <c r="C128" s="3" t="str">
        <f>"金盆岭街道"</f>
        <v>金盆岭街道</v>
      </c>
      <c r="D128" s="3" t="str">
        <f>"天剑社区"</f>
        <v>天剑社区</v>
      </c>
      <c r="E128" s="3" t="str">
        <f t="shared" si="24"/>
        <v>140</v>
      </c>
      <c r="F128" s="3" t="str">
        <f t="shared" si="50"/>
        <v>100</v>
      </c>
      <c r="G128" s="3" t="str">
        <f t="shared" si="51"/>
        <v>二级</v>
      </c>
    </row>
    <row r="129" customHeight="1" spans="1:7">
      <c r="A129" s="3" t="str">
        <f>"2528"</f>
        <v>2528</v>
      </c>
      <c r="B129" s="3" t="s">
        <v>1738</v>
      </c>
      <c r="C129" s="3" t="str">
        <f>"裕南街街道"</f>
        <v>裕南街街道</v>
      </c>
      <c r="D129" s="3" t="str">
        <f>"长坡社区"</f>
        <v>长坡社区</v>
      </c>
      <c r="E129" s="3" t="str">
        <f t="shared" si="24"/>
        <v>140</v>
      </c>
      <c r="F129" s="3" t="str">
        <f t="shared" si="50"/>
        <v>100</v>
      </c>
      <c r="G129" s="3" t="str">
        <f t="shared" si="51"/>
        <v>二级</v>
      </c>
    </row>
    <row r="130" customHeight="1" spans="1:7">
      <c r="A130" s="3" t="str">
        <f>"2529"</f>
        <v>2529</v>
      </c>
      <c r="B130" s="3" t="s">
        <v>1739</v>
      </c>
      <c r="C130" s="3" t="str">
        <f t="shared" si="49"/>
        <v>坡子街街道</v>
      </c>
      <c r="D130" s="3" t="str">
        <f>"太平街社区"</f>
        <v>太平街社区</v>
      </c>
      <c r="E130" s="3" t="str">
        <f t="shared" ref="E130:E193" si="52">"140"</f>
        <v>140</v>
      </c>
      <c r="F130" s="3" t="str">
        <f t="shared" si="50"/>
        <v>100</v>
      </c>
      <c r="G130" s="3" t="str">
        <f t="shared" ref="G130:G132" si="53">"一级"</f>
        <v>一级</v>
      </c>
    </row>
    <row r="131" customHeight="1" spans="1:7">
      <c r="A131" s="3" t="str">
        <f>"2530"</f>
        <v>2530</v>
      </c>
      <c r="B131" s="3" t="s">
        <v>1740</v>
      </c>
      <c r="C131" s="3" t="str">
        <f>"赤岭路街道"</f>
        <v>赤岭路街道</v>
      </c>
      <c r="D131" s="3" t="str">
        <f>"新丰社区"</f>
        <v>新丰社区</v>
      </c>
      <c r="E131" s="3" t="str">
        <f t="shared" si="52"/>
        <v>140</v>
      </c>
      <c r="F131" s="3" t="str">
        <f t="shared" si="50"/>
        <v>100</v>
      </c>
      <c r="G131" s="3" t="str">
        <f t="shared" si="53"/>
        <v>一级</v>
      </c>
    </row>
    <row r="132" customHeight="1" spans="1:7">
      <c r="A132" s="3" t="str">
        <f>"2531"</f>
        <v>2531</v>
      </c>
      <c r="B132" s="3" t="s">
        <v>1741</v>
      </c>
      <c r="C132" s="3" t="str">
        <f>"城南路街道"</f>
        <v>城南路街道</v>
      </c>
      <c r="D132" s="3" t="str">
        <f>"白沙井社区"</f>
        <v>白沙井社区</v>
      </c>
      <c r="E132" s="3" t="str">
        <f t="shared" si="52"/>
        <v>140</v>
      </c>
      <c r="F132" s="3" t="str">
        <f t="shared" si="50"/>
        <v>100</v>
      </c>
      <c r="G132" s="3" t="str">
        <f t="shared" si="53"/>
        <v>一级</v>
      </c>
    </row>
    <row r="133" customHeight="1" spans="1:7">
      <c r="A133" s="3" t="str">
        <f>"2532"</f>
        <v>2532</v>
      </c>
      <c r="B133" s="3" t="s">
        <v>1742</v>
      </c>
      <c r="C133" s="3" t="str">
        <f>"赤岭路街道"</f>
        <v>赤岭路街道</v>
      </c>
      <c r="D133" s="3" t="str">
        <f>"白沙花园社区"</f>
        <v>白沙花园社区</v>
      </c>
      <c r="E133" s="3" t="str">
        <f t="shared" si="52"/>
        <v>140</v>
      </c>
      <c r="F133" s="3" t="str">
        <f t="shared" si="50"/>
        <v>100</v>
      </c>
      <c r="G133" s="3" t="str">
        <f t="shared" ref="G133:G137" si="54">"二级"</f>
        <v>二级</v>
      </c>
    </row>
    <row r="134" customHeight="1" spans="1:7">
      <c r="A134" s="3" t="str">
        <f>"2533"</f>
        <v>2533</v>
      </c>
      <c r="B134" s="3" t="s">
        <v>1743</v>
      </c>
      <c r="C134" s="3" t="str">
        <f>"金盆岭街道"</f>
        <v>金盆岭街道</v>
      </c>
      <c r="D134" s="3" t="str">
        <f>"夏家冲社区"</f>
        <v>夏家冲社区</v>
      </c>
      <c r="E134" s="3" t="str">
        <f t="shared" si="52"/>
        <v>140</v>
      </c>
      <c r="F134" s="3" t="str">
        <f t="shared" si="50"/>
        <v>100</v>
      </c>
      <c r="G134" s="3" t="str">
        <f t="shared" si="54"/>
        <v>二级</v>
      </c>
    </row>
    <row r="135" customHeight="1" spans="1:7">
      <c r="A135" s="3" t="str">
        <f>"2534"</f>
        <v>2534</v>
      </c>
      <c r="B135" s="3" t="s">
        <v>1201</v>
      </c>
      <c r="C135" s="3" t="str">
        <f>"金盆岭街道"</f>
        <v>金盆岭街道</v>
      </c>
      <c r="D135" s="3" t="str">
        <f>"赤岭路社区"</f>
        <v>赤岭路社区</v>
      </c>
      <c r="E135" s="3" t="str">
        <f t="shared" si="52"/>
        <v>140</v>
      </c>
      <c r="F135" s="3" t="str">
        <f t="shared" si="50"/>
        <v>100</v>
      </c>
      <c r="G135" s="3" t="str">
        <f t="shared" si="54"/>
        <v>二级</v>
      </c>
    </row>
    <row r="136" customHeight="1" spans="1:7">
      <c r="A136" s="3" t="str">
        <f>"2535"</f>
        <v>2535</v>
      </c>
      <c r="B136" s="3" t="s">
        <v>1744</v>
      </c>
      <c r="C136" s="3" t="str">
        <f>"大托铺街道"</f>
        <v>大托铺街道</v>
      </c>
      <c r="D136" s="3" t="str">
        <f>"桂井村委会"</f>
        <v>桂井村委会</v>
      </c>
      <c r="E136" s="3" t="str">
        <f t="shared" si="52"/>
        <v>140</v>
      </c>
      <c r="F136" s="3" t="str">
        <f t="shared" si="50"/>
        <v>100</v>
      </c>
      <c r="G136" s="3" t="str">
        <f t="shared" si="54"/>
        <v>二级</v>
      </c>
    </row>
    <row r="137" customHeight="1" spans="1:7">
      <c r="A137" s="3" t="str">
        <f>"2536"</f>
        <v>2536</v>
      </c>
      <c r="B137" s="3" t="s">
        <v>1745</v>
      </c>
      <c r="C137" s="3" t="str">
        <f t="shared" ref="C137:C142" si="55">"裕南街街道"</f>
        <v>裕南街街道</v>
      </c>
      <c r="D137" s="3" t="str">
        <f>"碧沙湖社区"</f>
        <v>碧沙湖社区</v>
      </c>
      <c r="E137" s="3" t="str">
        <f t="shared" si="52"/>
        <v>140</v>
      </c>
      <c r="F137" s="3" t="str">
        <f t="shared" si="50"/>
        <v>100</v>
      </c>
      <c r="G137" s="3" t="str">
        <f t="shared" si="54"/>
        <v>二级</v>
      </c>
    </row>
    <row r="138" customHeight="1" spans="1:7">
      <c r="A138" s="3" t="str">
        <f>"2537"</f>
        <v>2537</v>
      </c>
      <c r="B138" s="3" t="s">
        <v>306</v>
      </c>
      <c r="C138" s="3" t="str">
        <f t="shared" si="55"/>
        <v>裕南街街道</v>
      </c>
      <c r="D138" s="3" t="str">
        <f>"南站社区"</f>
        <v>南站社区</v>
      </c>
      <c r="E138" s="3" t="str">
        <f t="shared" si="52"/>
        <v>140</v>
      </c>
      <c r="F138" s="3" t="str">
        <f t="shared" si="50"/>
        <v>100</v>
      </c>
      <c r="G138" s="3" t="str">
        <f>"一级"</f>
        <v>一级</v>
      </c>
    </row>
    <row r="139" customHeight="1" spans="1:7">
      <c r="A139" s="3" t="str">
        <f>"2538"</f>
        <v>2538</v>
      </c>
      <c r="B139" s="3" t="s">
        <v>1746</v>
      </c>
      <c r="C139" s="3" t="str">
        <f>"黑石铺街道"</f>
        <v>黑石铺街道</v>
      </c>
      <c r="D139" s="3" t="str">
        <f>"一力社区"</f>
        <v>一力社区</v>
      </c>
      <c r="E139" s="3" t="str">
        <f t="shared" si="52"/>
        <v>140</v>
      </c>
      <c r="F139" s="3" t="str">
        <f t="shared" si="50"/>
        <v>100</v>
      </c>
      <c r="G139" s="3" t="str">
        <f t="shared" ref="G139:G147" si="56">"二级"</f>
        <v>二级</v>
      </c>
    </row>
    <row r="140" customHeight="1" spans="1:7">
      <c r="A140" s="3" t="str">
        <f>"2539"</f>
        <v>2539</v>
      </c>
      <c r="B140" s="3" t="s">
        <v>1339</v>
      </c>
      <c r="C140" s="3" t="str">
        <f>"赤岭路街道"</f>
        <v>赤岭路街道</v>
      </c>
      <c r="D140" s="3" t="str">
        <f>"广厦新村社区"</f>
        <v>广厦新村社区</v>
      </c>
      <c r="E140" s="3" t="str">
        <f t="shared" si="52"/>
        <v>140</v>
      </c>
      <c r="F140" s="3" t="str">
        <f t="shared" si="50"/>
        <v>100</v>
      </c>
      <c r="G140" s="3" t="str">
        <f t="shared" si="56"/>
        <v>二级</v>
      </c>
    </row>
    <row r="141" customHeight="1" spans="1:7">
      <c r="A141" s="3" t="str">
        <f>"2540"</f>
        <v>2540</v>
      </c>
      <c r="B141" s="3" t="s">
        <v>1747</v>
      </c>
      <c r="C141" s="3" t="str">
        <f t="shared" si="55"/>
        <v>裕南街街道</v>
      </c>
      <c r="D141" s="3" t="str">
        <f>"东瓜山社区"</f>
        <v>东瓜山社区</v>
      </c>
      <c r="E141" s="3" t="str">
        <f t="shared" si="52"/>
        <v>140</v>
      </c>
      <c r="F141" s="3" t="str">
        <f t="shared" si="50"/>
        <v>100</v>
      </c>
      <c r="G141" s="3" t="str">
        <f>"一级"</f>
        <v>一级</v>
      </c>
    </row>
    <row r="142" customHeight="1" spans="1:7">
      <c r="A142" s="3" t="str">
        <f>"2541"</f>
        <v>2541</v>
      </c>
      <c r="B142" s="3" t="s">
        <v>1748</v>
      </c>
      <c r="C142" s="3" t="str">
        <f t="shared" si="55"/>
        <v>裕南街街道</v>
      </c>
      <c r="D142" s="3" t="str">
        <f>"东瓜山社区"</f>
        <v>东瓜山社区</v>
      </c>
      <c r="E142" s="3" t="str">
        <f t="shared" si="52"/>
        <v>140</v>
      </c>
      <c r="F142" s="3" t="str">
        <f t="shared" si="50"/>
        <v>100</v>
      </c>
      <c r="G142" s="3" t="str">
        <f t="shared" si="56"/>
        <v>二级</v>
      </c>
    </row>
    <row r="143" customHeight="1" spans="1:7">
      <c r="A143" s="3" t="str">
        <f>"2542"</f>
        <v>2542</v>
      </c>
      <c r="B143" s="3" t="s">
        <v>1749</v>
      </c>
      <c r="C143" s="3" t="str">
        <f>"南托街道"</f>
        <v>南托街道</v>
      </c>
      <c r="D143" s="3" t="str">
        <f>"南托岭社区"</f>
        <v>南托岭社区</v>
      </c>
      <c r="E143" s="3" t="str">
        <f t="shared" si="52"/>
        <v>140</v>
      </c>
      <c r="F143" s="3" t="str">
        <f t="shared" si="50"/>
        <v>100</v>
      </c>
      <c r="G143" s="3" t="str">
        <f t="shared" si="56"/>
        <v>二级</v>
      </c>
    </row>
    <row r="144" customHeight="1" spans="1:7">
      <c r="A144" s="3" t="str">
        <f>"2543"</f>
        <v>2543</v>
      </c>
      <c r="B144" s="3" t="s">
        <v>139</v>
      </c>
      <c r="C144" s="3" t="str">
        <f>"文源街道"</f>
        <v>文源街道</v>
      </c>
      <c r="D144" s="3" t="str">
        <f>"梅岭社区"</f>
        <v>梅岭社区</v>
      </c>
      <c r="E144" s="3" t="str">
        <f t="shared" si="52"/>
        <v>140</v>
      </c>
      <c r="F144" s="3" t="str">
        <f t="shared" si="50"/>
        <v>100</v>
      </c>
      <c r="G144" s="3" t="str">
        <f t="shared" si="56"/>
        <v>二级</v>
      </c>
    </row>
    <row r="145" customHeight="1" spans="1:7">
      <c r="A145" s="3" t="str">
        <f>"2544"</f>
        <v>2544</v>
      </c>
      <c r="B145" s="3" t="s">
        <v>1750</v>
      </c>
      <c r="C145" s="3" t="str">
        <f t="shared" ref="C145:C147" si="57">"裕南街街道"</f>
        <v>裕南街街道</v>
      </c>
      <c r="D145" s="3" t="str">
        <f>"宝塔山社区"</f>
        <v>宝塔山社区</v>
      </c>
      <c r="E145" s="3" t="str">
        <f t="shared" si="52"/>
        <v>140</v>
      </c>
      <c r="F145" s="3" t="str">
        <f t="shared" si="50"/>
        <v>100</v>
      </c>
      <c r="G145" s="3" t="str">
        <f t="shared" si="56"/>
        <v>二级</v>
      </c>
    </row>
    <row r="146" customHeight="1" spans="1:7">
      <c r="A146" s="3" t="str">
        <f>"2545"</f>
        <v>2545</v>
      </c>
      <c r="B146" s="3" t="s">
        <v>1751</v>
      </c>
      <c r="C146" s="3" t="str">
        <f t="shared" si="57"/>
        <v>裕南街街道</v>
      </c>
      <c r="D146" s="3" t="str">
        <f>"长坡社区"</f>
        <v>长坡社区</v>
      </c>
      <c r="E146" s="3" t="str">
        <f t="shared" si="52"/>
        <v>140</v>
      </c>
      <c r="F146" s="3" t="str">
        <f t="shared" si="50"/>
        <v>100</v>
      </c>
      <c r="G146" s="3" t="str">
        <f t="shared" si="56"/>
        <v>二级</v>
      </c>
    </row>
    <row r="147" customHeight="1" spans="1:7">
      <c r="A147" s="3" t="str">
        <f>"2546"</f>
        <v>2546</v>
      </c>
      <c r="B147" s="3" t="s">
        <v>1752</v>
      </c>
      <c r="C147" s="3" t="str">
        <f t="shared" si="57"/>
        <v>裕南街街道</v>
      </c>
      <c r="D147" s="3" t="str">
        <f>"宝塔山社区"</f>
        <v>宝塔山社区</v>
      </c>
      <c r="E147" s="3" t="str">
        <f t="shared" si="52"/>
        <v>140</v>
      </c>
      <c r="F147" s="3" t="str">
        <f t="shared" si="50"/>
        <v>100</v>
      </c>
      <c r="G147" s="3" t="str">
        <f t="shared" si="56"/>
        <v>二级</v>
      </c>
    </row>
    <row r="148" customHeight="1" spans="1:7">
      <c r="A148" s="3" t="str">
        <f>"2547"</f>
        <v>2547</v>
      </c>
      <c r="B148" s="3" t="s">
        <v>1560</v>
      </c>
      <c r="C148" s="3" t="str">
        <f>"金盆岭街道"</f>
        <v>金盆岭街道</v>
      </c>
      <c r="D148" s="3" t="str">
        <f>"天剑社区"</f>
        <v>天剑社区</v>
      </c>
      <c r="E148" s="3" t="str">
        <f t="shared" si="52"/>
        <v>140</v>
      </c>
      <c r="F148" s="3" t="str">
        <f t="shared" si="50"/>
        <v>100</v>
      </c>
      <c r="G148" s="3" t="str">
        <f t="shared" ref="G148:G150" si="58">"一级"</f>
        <v>一级</v>
      </c>
    </row>
    <row r="149" customHeight="1" spans="1:7">
      <c r="A149" s="3" t="str">
        <f>"2548"</f>
        <v>2548</v>
      </c>
      <c r="B149" s="3" t="s">
        <v>1264</v>
      </c>
      <c r="C149" s="3" t="str">
        <f>"大托铺街道"</f>
        <v>大托铺街道</v>
      </c>
      <c r="D149" s="3" t="str">
        <f>"兴隆村委会"</f>
        <v>兴隆村委会</v>
      </c>
      <c r="E149" s="3" t="str">
        <f t="shared" si="52"/>
        <v>140</v>
      </c>
      <c r="F149" s="3" t="str">
        <f t="shared" si="50"/>
        <v>100</v>
      </c>
      <c r="G149" s="3" t="str">
        <f t="shared" si="58"/>
        <v>一级</v>
      </c>
    </row>
    <row r="150" customHeight="1" spans="1:7">
      <c r="A150" s="3" t="str">
        <f>"2549"</f>
        <v>2549</v>
      </c>
      <c r="B150" s="3" t="s">
        <v>1753</v>
      </c>
      <c r="C150" s="3" t="str">
        <f>"青园街道"</f>
        <v>青园街道</v>
      </c>
      <c r="D150" s="3" t="str">
        <f>"井湾子社区"</f>
        <v>井湾子社区</v>
      </c>
      <c r="E150" s="3" t="str">
        <f t="shared" si="52"/>
        <v>140</v>
      </c>
      <c r="F150" s="3" t="str">
        <f t="shared" si="50"/>
        <v>100</v>
      </c>
      <c r="G150" s="3" t="str">
        <f t="shared" si="58"/>
        <v>一级</v>
      </c>
    </row>
    <row r="151" customHeight="1" spans="1:7">
      <c r="A151" s="3" t="str">
        <f>"2550"</f>
        <v>2550</v>
      </c>
      <c r="B151" s="3" t="s">
        <v>1663</v>
      </c>
      <c r="C151" s="3" t="str">
        <f>"大托铺街道"</f>
        <v>大托铺街道</v>
      </c>
      <c r="D151" s="3" t="str">
        <f>"桂井村委会"</f>
        <v>桂井村委会</v>
      </c>
      <c r="E151" s="3" t="str">
        <f t="shared" si="52"/>
        <v>140</v>
      </c>
      <c r="F151" s="3" t="str">
        <f t="shared" si="50"/>
        <v>100</v>
      </c>
      <c r="G151" s="3" t="str">
        <f t="shared" ref="G151:G154" si="59">"二级"</f>
        <v>二级</v>
      </c>
    </row>
    <row r="152" customHeight="1" spans="1:7">
      <c r="A152" s="3" t="str">
        <f>"2551"</f>
        <v>2551</v>
      </c>
      <c r="B152" s="3" t="s">
        <v>26</v>
      </c>
      <c r="C152" s="3" t="str">
        <f>"坡子街街道"</f>
        <v>坡子街街道</v>
      </c>
      <c r="D152" s="3" t="str">
        <f>"西湖社区"</f>
        <v>西湖社区</v>
      </c>
      <c r="E152" s="3" t="str">
        <f t="shared" si="52"/>
        <v>140</v>
      </c>
      <c r="F152" s="3" t="str">
        <f t="shared" si="50"/>
        <v>100</v>
      </c>
      <c r="G152" s="3" t="str">
        <f t="shared" si="59"/>
        <v>二级</v>
      </c>
    </row>
    <row r="153" customHeight="1" spans="1:7">
      <c r="A153" s="3" t="str">
        <f>"2552"</f>
        <v>2552</v>
      </c>
      <c r="B153" s="3" t="s">
        <v>1754</v>
      </c>
      <c r="C153" s="3" t="str">
        <f t="shared" ref="C153:C157" si="60">"裕南街街道"</f>
        <v>裕南街街道</v>
      </c>
      <c r="D153" s="3" t="str">
        <f>"火把山社区"</f>
        <v>火把山社区</v>
      </c>
      <c r="E153" s="3" t="str">
        <f t="shared" si="52"/>
        <v>140</v>
      </c>
      <c r="F153" s="3" t="str">
        <f t="shared" si="50"/>
        <v>100</v>
      </c>
      <c r="G153" s="3" t="str">
        <f t="shared" si="59"/>
        <v>二级</v>
      </c>
    </row>
    <row r="154" customHeight="1" spans="1:7">
      <c r="A154" s="3" t="str">
        <f>"2553"</f>
        <v>2553</v>
      </c>
      <c r="B154" s="3" t="s">
        <v>54</v>
      </c>
      <c r="C154" s="3" t="str">
        <f t="shared" si="60"/>
        <v>裕南街街道</v>
      </c>
      <c r="D154" s="3" t="str">
        <f>"长坡社区"</f>
        <v>长坡社区</v>
      </c>
      <c r="E154" s="3" t="str">
        <f t="shared" si="52"/>
        <v>140</v>
      </c>
      <c r="F154" s="3" t="str">
        <f t="shared" si="50"/>
        <v>100</v>
      </c>
      <c r="G154" s="3" t="str">
        <f t="shared" si="59"/>
        <v>二级</v>
      </c>
    </row>
    <row r="155" customHeight="1" spans="1:7">
      <c r="A155" s="3" t="str">
        <f>"2554"</f>
        <v>2554</v>
      </c>
      <c r="B155" s="3" t="s">
        <v>1148</v>
      </c>
      <c r="C155" s="3" t="str">
        <f>"大托铺街道"</f>
        <v>大托铺街道</v>
      </c>
      <c r="D155" s="3" t="str">
        <f>"大托村委会"</f>
        <v>大托村委会</v>
      </c>
      <c r="E155" s="3" t="str">
        <f t="shared" si="52"/>
        <v>140</v>
      </c>
      <c r="F155" s="3" t="str">
        <f t="shared" si="50"/>
        <v>100</v>
      </c>
      <c r="G155" s="3" t="str">
        <f>"一级"</f>
        <v>一级</v>
      </c>
    </row>
    <row r="156" customHeight="1" spans="1:7">
      <c r="A156" s="3" t="str">
        <f>"2555"</f>
        <v>2555</v>
      </c>
      <c r="B156" s="3" t="s">
        <v>1755</v>
      </c>
      <c r="C156" s="3" t="str">
        <f t="shared" si="60"/>
        <v>裕南街街道</v>
      </c>
      <c r="D156" s="3" t="str">
        <f>"长坡社区"</f>
        <v>长坡社区</v>
      </c>
      <c r="E156" s="3" t="str">
        <f t="shared" si="52"/>
        <v>140</v>
      </c>
      <c r="F156" s="3" t="str">
        <f t="shared" si="50"/>
        <v>100</v>
      </c>
      <c r="G156" s="3" t="str">
        <f t="shared" ref="G156:G160" si="61">"二级"</f>
        <v>二级</v>
      </c>
    </row>
    <row r="157" customHeight="1" spans="1:7">
      <c r="A157" s="3" t="str">
        <f>"2556"</f>
        <v>2556</v>
      </c>
      <c r="B157" s="3" t="s">
        <v>1756</v>
      </c>
      <c r="C157" s="3" t="str">
        <f t="shared" si="60"/>
        <v>裕南街街道</v>
      </c>
      <c r="D157" s="3" t="str">
        <f>"向东南社区"</f>
        <v>向东南社区</v>
      </c>
      <c r="E157" s="3" t="str">
        <f t="shared" si="52"/>
        <v>140</v>
      </c>
      <c r="F157" s="3" t="str">
        <f t="shared" si="50"/>
        <v>100</v>
      </c>
      <c r="G157" s="3" t="str">
        <f t="shared" si="61"/>
        <v>二级</v>
      </c>
    </row>
    <row r="158" customHeight="1" spans="1:7">
      <c r="A158" s="3" t="str">
        <f>"2557"</f>
        <v>2557</v>
      </c>
      <c r="B158" s="3" t="s">
        <v>1757</v>
      </c>
      <c r="C158" s="3" t="str">
        <f>"金盆岭街道"</f>
        <v>金盆岭街道</v>
      </c>
      <c r="D158" s="3" t="str">
        <f>"赤岭路社区"</f>
        <v>赤岭路社区</v>
      </c>
      <c r="E158" s="3" t="str">
        <f t="shared" si="52"/>
        <v>140</v>
      </c>
      <c r="F158" s="3" t="str">
        <f t="shared" si="50"/>
        <v>100</v>
      </c>
      <c r="G158" s="3" t="str">
        <f t="shared" si="61"/>
        <v>二级</v>
      </c>
    </row>
    <row r="159" customHeight="1" spans="1:7">
      <c r="A159" s="3" t="str">
        <f>"2558"</f>
        <v>2558</v>
      </c>
      <c r="B159" s="3" t="s">
        <v>632</v>
      </c>
      <c r="C159" s="3" t="str">
        <f>"黑石铺街道"</f>
        <v>黑石铺街道</v>
      </c>
      <c r="D159" s="3" t="str">
        <f>"铭安社区"</f>
        <v>铭安社区</v>
      </c>
      <c r="E159" s="3" t="str">
        <f t="shared" si="52"/>
        <v>140</v>
      </c>
      <c r="F159" s="3" t="str">
        <f t="shared" si="50"/>
        <v>100</v>
      </c>
      <c r="G159" s="3" t="str">
        <f t="shared" si="61"/>
        <v>二级</v>
      </c>
    </row>
    <row r="160" customHeight="1" spans="1:7">
      <c r="A160" s="3" t="str">
        <f>"2559"</f>
        <v>2559</v>
      </c>
      <c r="B160" s="3" t="s">
        <v>1758</v>
      </c>
      <c r="C160" s="3" t="str">
        <f>"先锋街道"</f>
        <v>先锋街道</v>
      </c>
      <c r="D160" s="3" t="str">
        <f>"嘉和社区"</f>
        <v>嘉和社区</v>
      </c>
      <c r="E160" s="3" t="str">
        <f t="shared" si="52"/>
        <v>140</v>
      </c>
      <c r="F160" s="3" t="str">
        <f t="shared" si="50"/>
        <v>100</v>
      </c>
      <c r="G160" s="3" t="str">
        <f t="shared" si="61"/>
        <v>二级</v>
      </c>
    </row>
    <row r="161" customHeight="1" spans="1:7">
      <c r="A161" s="3" t="str">
        <f>"2560"</f>
        <v>2560</v>
      </c>
      <c r="B161" s="3" t="s">
        <v>1759</v>
      </c>
      <c r="C161" s="3" t="str">
        <f>"坡子街街道"</f>
        <v>坡子街街道</v>
      </c>
      <c r="D161" s="3" t="str">
        <f>"碧湘社区"</f>
        <v>碧湘社区</v>
      </c>
      <c r="E161" s="3" t="str">
        <f t="shared" si="52"/>
        <v>140</v>
      </c>
      <c r="F161" s="3" t="str">
        <f t="shared" si="50"/>
        <v>100</v>
      </c>
      <c r="G161" s="3" t="str">
        <f>"一级"</f>
        <v>一级</v>
      </c>
    </row>
    <row r="162" customHeight="1" spans="1:7">
      <c r="A162" s="3" t="str">
        <f>"2561"</f>
        <v>2561</v>
      </c>
      <c r="B162" s="3" t="s">
        <v>1760</v>
      </c>
      <c r="C162" s="3" t="str">
        <f t="shared" ref="C162:C167" si="62">"青园街道"</f>
        <v>青园街道</v>
      </c>
      <c r="D162" s="3" t="str">
        <f>"友谊社区"</f>
        <v>友谊社区</v>
      </c>
      <c r="E162" s="3" t="str">
        <f t="shared" si="52"/>
        <v>140</v>
      </c>
      <c r="F162" s="3" t="str">
        <f>"0"</f>
        <v>0</v>
      </c>
      <c r="G162" s="3" t="str">
        <f>"三级"</f>
        <v>三级</v>
      </c>
    </row>
    <row r="163" customHeight="1" spans="1:7">
      <c r="A163" s="3" t="str">
        <f>"2562"</f>
        <v>2562</v>
      </c>
      <c r="B163" s="3" t="s">
        <v>500</v>
      </c>
      <c r="C163" s="3" t="str">
        <f>"南托街道"</f>
        <v>南托街道</v>
      </c>
      <c r="D163" s="3" t="str">
        <f>"沿江村"</f>
        <v>沿江村</v>
      </c>
      <c r="E163" s="3" t="str">
        <f t="shared" si="52"/>
        <v>140</v>
      </c>
      <c r="F163" s="3" t="str">
        <f>"0"</f>
        <v>0</v>
      </c>
      <c r="G163" s="3" t="str">
        <f>"四级"</f>
        <v>四级</v>
      </c>
    </row>
    <row r="164" customHeight="1" spans="1:7">
      <c r="A164" s="3" t="str">
        <f>"2563"</f>
        <v>2563</v>
      </c>
      <c r="B164" s="3" t="s">
        <v>717</v>
      </c>
      <c r="C164" s="3" t="str">
        <f>"桂花坪街道"</f>
        <v>桂花坪街道</v>
      </c>
      <c r="D164" s="3" t="str">
        <f>"九峰苑社区"</f>
        <v>九峰苑社区</v>
      </c>
      <c r="E164" s="3" t="str">
        <f t="shared" si="52"/>
        <v>140</v>
      </c>
      <c r="F164" s="3" t="str">
        <f t="shared" ref="F164:F179" si="63">"100"</f>
        <v>100</v>
      </c>
      <c r="G164" s="3" t="str">
        <f t="shared" ref="G164:G177" si="64">"二级"</f>
        <v>二级</v>
      </c>
    </row>
    <row r="165" customHeight="1" spans="1:7">
      <c r="A165" s="3" t="str">
        <f>"2564"</f>
        <v>2564</v>
      </c>
      <c r="B165" s="3" t="s">
        <v>1761</v>
      </c>
      <c r="C165" s="3" t="str">
        <f t="shared" si="62"/>
        <v>青园街道</v>
      </c>
      <c r="D165" s="3" t="str">
        <f>"井湾子社区"</f>
        <v>井湾子社区</v>
      </c>
      <c r="E165" s="3" t="str">
        <f t="shared" si="52"/>
        <v>140</v>
      </c>
      <c r="F165" s="3" t="str">
        <f t="shared" si="63"/>
        <v>100</v>
      </c>
      <c r="G165" s="3" t="str">
        <f t="shared" si="64"/>
        <v>二级</v>
      </c>
    </row>
    <row r="166" customHeight="1" spans="1:7">
      <c r="A166" s="3" t="str">
        <f>"2565"</f>
        <v>2565</v>
      </c>
      <c r="B166" s="3" t="s">
        <v>70</v>
      </c>
      <c r="C166" s="3" t="str">
        <f>"坡子街街道"</f>
        <v>坡子街街道</v>
      </c>
      <c r="D166" s="3" t="str">
        <f>"碧湘社区"</f>
        <v>碧湘社区</v>
      </c>
      <c r="E166" s="3" t="str">
        <f t="shared" si="52"/>
        <v>140</v>
      </c>
      <c r="F166" s="3" t="str">
        <f t="shared" si="63"/>
        <v>100</v>
      </c>
      <c r="G166" s="3" t="str">
        <f t="shared" si="64"/>
        <v>二级</v>
      </c>
    </row>
    <row r="167" customHeight="1" spans="1:7">
      <c r="A167" s="3" t="str">
        <f>"2566"</f>
        <v>2566</v>
      </c>
      <c r="B167" s="3" t="s">
        <v>1171</v>
      </c>
      <c r="C167" s="3" t="str">
        <f t="shared" si="62"/>
        <v>青园街道</v>
      </c>
      <c r="D167" s="3" t="str">
        <f>"井湾子社区"</f>
        <v>井湾子社区</v>
      </c>
      <c r="E167" s="3" t="str">
        <f t="shared" si="52"/>
        <v>140</v>
      </c>
      <c r="F167" s="3" t="str">
        <f t="shared" si="63"/>
        <v>100</v>
      </c>
      <c r="G167" s="3" t="str">
        <f t="shared" si="64"/>
        <v>二级</v>
      </c>
    </row>
    <row r="168" customHeight="1" spans="1:7">
      <c r="A168" s="3" t="str">
        <f>"2567"</f>
        <v>2567</v>
      </c>
      <c r="B168" s="3" t="s">
        <v>1762</v>
      </c>
      <c r="C168" s="3" t="str">
        <f>"桂花坪街道"</f>
        <v>桂花坪街道</v>
      </c>
      <c r="D168" s="3" t="str">
        <f>"桂庄社区"</f>
        <v>桂庄社区</v>
      </c>
      <c r="E168" s="3" t="str">
        <f t="shared" si="52"/>
        <v>140</v>
      </c>
      <c r="F168" s="3" t="str">
        <f t="shared" si="63"/>
        <v>100</v>
      </c>
      <c r="G168" s="3" t="str">
        <f t="shared" si="64"/>
        <v>二级</v>
      </c>
    </row>
    <row r="169" customHeight="1" spans="1:7">
      <c r="A169" s="3" t="str">
        <f>"2568"</f>
        <v>2568</v>
      </c>
      <c r="B169" s="3" t="s">
        <v>80</v>
      </c>
      <c r="C169" s="3" t="str">
        <f>"新开铺街道"</f>
        <v>新开铺街道</v>
      </c>
      <c r="D169" s="3" t="str">
        <f>"新天社区"</f>
        <v>新天社区</v>
      </c>
      <c r="E169" s="3" t="str">
        <f t="shared" si="52"/>
        <v>140</v>
      </c>
      <c r="F169" s="3" t="str">
        <f t="shared" si="63"/>
        <v>100</v>
      </c>
      <c r="G169" s="3" t="str">
        <f t="shared" si="64"/>
        <v>二级</v>
      </c>
    </row>
    <row r="170" customHeight="1" spans="1:7">
      <c r="A170" s="3" t="str">
        <f>"2569"</f>
        <v>2569</v>
      </c>
      <c r="B170" s="3" t="s">
        <v>1763</v>
      </c>
      <c r="C170" s="3" t="str">
        <f>"赤岭路街道"</f>
        <v>赤岭路街道</v>
      </c>
      <c r="D170" s="3" t="str">
        <f>"南大桥社区"</f>
        <v>南大桥社区</v>
      </c>
      <c r="E170" s="3" t="str">
        <f t="shared" si="52"/>
        <v>140</v>
      </c>
      <c r="F170" s="3" t="str">
        <f t="shared" si="63"/>
        <v>100</v>
      </c>
      <c r="G170" s="3" t="str">
        <f t="shared" si="64"/>
        <v>二级</v>
      </c>
    </row>
    <row r="171" customHeight="1" spans="1:7">
      <c r="A171" s="3" t="str">
        <f>"2570"</f>
        <v>2570</v>
      </c>
      <c r="B171" s="3" t="s">
        <v>1764</v>
      </c>
      <c r="C171" s="3" t="str">
        <f>"金盆岭街道"</f>
        <v>金盆岭街道</v>
      </c>
      <c r="D171" s="3" t="str">
        <f>"天剑社区"</f>
        <v>天剑社区</v>
      </c>
      <c r="E171" s="3" t="str">
        <f t="shared" si="52"/>
        <v>140</v>
      </c>
      <c r="F171" s="3" t="str">
        <f t="shared" si="63"/>
        <v>100</v>
      </c>
      <c r="G171" s="3" t="str">
        <f t="shared" si="64"/>
        <v>二级</v>
      </c>
    </row>
    <row r="172" customHeight="1" spans="1:7">
      <c r="A172" s="3" t="str">
        <f>"2571"</f>
        <v>2571</v>
      </c>
      <c r="B172" s="3" t="s">
        <v>1765</v>
      </c>
      <c r="C172" s="3" t="str">
        <f>"暮云街道"</f>
        <v>暮云街道</v>
      </c>
      <c r="D172" s="3" t="str">
        <f>"莲华村"</f>
        <v>莲华村</v>
      </c>
      <c r="E172" s="3" t="str">
        <f t="shared" si="52"/>
        <v>140</v>
      </c>
      <c r="F172" s="3" t="str">
        <f t="shared" si="63"/>
        <v>100</v>
      </c>
      <c r="G172" s="3" t="str">
        <f t="shared" si="64"/>
        <v>二级</v>
      </c>
    </row>
    <row r="173" customHeight="1" spans="1:7">
      <c r="A173" s="3" t="str">
        <f>"2572"</f>
        <v>2572</v>
      </c>
      <c r="B173" s="3" t="s">
        <v>1766</v>
      </c>
      <c r="C173" s="3" t="str">
        <f>"暮云街道"</f>
        <v>暮云街道</v>
      </c>
      <c r="D173" s="3" t="str">
        <f>"莲华村"</f>
        <v>莲华村</v>
      </c>
      <c r="E173" s="3" t="str">
        <f t="shared" si="52"/>
        <v>140</v>
      </c>
      <c r="F173" s="3" t="str">
        <f t="shared" si="63"/>
        <v>100</v>
      </c>
      <c r="G173" s="3" t="str">
        <f t="shared" si="64"/>
        <v>二级</v>
      </c>
    </row>
    <row r="174" customHeight="1" spans="1:7">
      <c r="A174" s="3" t="str">
        <f>"2573"</f>
        <v>2573</v>
      </c>
      <c r="B174" s="3" t="s">
        <v>1767</v>
      </c>
      <c r="C174" s="3" t="str">
        <f>"新开铺街道"</f>
        <v>新开铺街道</v>
      </c>
      <c r="D174" s="3" t="str">
        <f>"豹子岭社区"</f>
        <v>豹子岭社区</v>
      </c>
      <c r="E174" s="3" t="str">
        <f t="shared" si="52"/>
        <v>140</v>
      </c>
      <c r="F174" s="3" t="str">
        <f t="shared" si="63"/>
        <v>100</v>
      </c>
      <c r="G174" s="3" t="str">
        <f t="shared" si="64"/>
        <v>二级</v>
      </c>
    </row>
    <row r="175" customHeight="1" spans="1:7">
      <c r="A175" s="3" t="str">
        <f>"2574"</f>
        <v>2574</v>
      </c>
      <c r="B175" s="3" t="s">
        <v>132</v>
      </c>
      <c r="C175" s="3" t="str">
        <f>"城南路街道"</f>
        <v>城南路街道</v>
      </c>
      <c r="D175" s="3" t="str">
        <f>"熙台岭社区"</f>
        <v>熙台岭社区</v>
      </c>
      <c r="E175" s="3" t="str">
        <f t="shared" si="52"/>
        <v>140</v>
      </c>
      <c r="F175" s="3" t="str">
        <f t="shared" si="63"/>
        <v>100</v>
      </c>
      <c r="G175" s="3" t="str">
        <f t="shared" si="64"/>
        <v>二级</v>
      </c>
    </row>
    <row r="176" customHeight="1" spans="1:7">
      <c r="A176" s="3" t="str">
        <f>"2575"</f>
        <v>2575</v>
      </c>
      <c r="B176" s="3" t="s">
        <v>391</v>
      </c>
      <c r="C176" s="3" t="str">
        <f t="shared" ref="C176:C178" si="65">"裕南街街道"</f>
        <v>裕南街街道</v>
      </c>
      <c r="D176" s="3" t="str">
        <f>"长坡社区"</f>
        <v>长坡社区</v>
      </c>
      <c r="E176" s="3" t="str">
        <f t="shared" si="52"/>
        <v>140</v>
      </c>
      <c r="F176" s="3" t="str">
        <f t="shared" si="63"/>
        <v>100</v>
      </c>
      <c r="G176" s="3" t="str">
        <f t="shared" si="64"/>
        <v>二级</v>
      </c>
    </row>
    <row r="177" customHeight="1" spans="1:7">
      <c r="A177" s="3" t="str">
        <f>"2576"</f>
        <v>2576</v>
      </c>
      <c r="B177" s="3" t="s">
        <v>1768</v>
      </c>
      <c r="C177" s="3" t="str">
        <f t="shared" si="65"/>
        <v>裕南街街道</v>
      </c>
      <c r="D177" s="3" t="str">
        <f>"长坡社区"</f>
        <v>长坡社区</v>
      </c>
      <c r="E177" s="3" t="str">
        <f t="shared" si="52"/>
        <v>140</v>
      </c>
      <c r="F177" s="3" t="str">
        <f t="shared" si="63"/>
        <v>100</v>
      </c>
      <c r="G177" s="3" t="str">
        <f t="shared" si="64"/>
        <v>二级</v>
      </c>
    </row>
    <row r="178" customHeight="1" spans="1:7">
      <c r="A178" s="3" t="str">
        <f>"2577"</f>
        <v>2577</v>
      </c>
      <c r="B178" s="3" t="s">
        <v>316</v>
      </c>
      <c r="C178" s="3" t="str">
        <f t="shared" si="65"/>
        <v>裕南街街道</v>
      </c>
      <c r="D178" s="3" t="str">
        <f>"向东南社区"</f>
        <v>向东南社区</v>
      </c>
      <c r="E178" s="3" t="str">
        <f t="shared" si="52"/>
        <v>140</v>
      </c>
      <c r="F178" s="3" t="str">
        <f t="shared" si="63"/>
        <v>100</v>
      </c>
      <c r="G178" s="3" t="str">
        <f t="shared" ref="G178:G183" si="66">"一级"</f>
        <v>一级</v>
      </c>
    </row>
    <row r="179" customHeight="1" spans="1:7">
      <c r="A179" s="3" t="str">
        <f>"2578"</f>
        <v>2578</v>
      </c>
      <c r="B179" s="3" t="s">
        <v>1769</v>
      </c>
      <c r="C179" s="3" t="str">
        <f>"坡子街街道"</f>
        <v>坡子街街道</v>
      </c>
      <c r="D179" s="3" t="str">
        <f>"西牌楼社区"</f>
        <v>西牌楼社区</v>
      </c>
      <c r="E179" s="3" t="str">
        <f t="shared" si="52"/>
        <v>140</v>
      </c>
      <c r="F179" s="3" t="str">
        <f t="shared" si="63"/>
        <v>100</v>
      </c>
      <c r="G179" s="3" t="str">
        <f>"二级"</f>
        <v>二级</v>
      </c>
    </row>
    <row r="180" customHeight="1" spans="1:7">
      <c r="A180" s="3" t="str">
        <f>"2579"</f>
        <v>2579</v>
      </c>
      <c r="B180" s="3" t="s">
        <v>1770</v>
      </c>
      <c r="C180" s="3" t="str">
        <f>"青园街道"</f>
        <v>青园街道</v>
      </c>
      <c r="D180" s="3" t="str">
        <f>"青园社区"</f>
        <v>青园社区</v>
      </c>
      <c r="E180" s="3" t="str">
        <f t="shared" si="52"/>
        <v>140</v>
      </c>
      <c r="F180" s="3" t="str">
        <f>"0"</f>
        <v>0</v>
      </c>
      <c r="G180" s="3" t="str">
        <f>"四级"</f>
        <v>四级</v>
      </c>
    </row>
    <row r="181" customHeight="1" spans="1:7">
      <c r="A181" s="3" t="str">
        <f>"2580"</f>
        <v>2580</v>
      </c>
      <c r="B181" s="3" t="s">
        <v>1771</v>
      </c>
      <c r="C181" s="3" t="str">
        <f>"新开铺街道"</f>
        <v>新开铺街道</v>
      </c>
      <c r="D181" s="3" t="str">
        <f>"桥头社区"</f>
        <v>桥头社区</v>
      </c>
      <c r="E181" s="3" t="str">
        <f t="shared" si="52"/>
        <v>140</v>
      </c>
      <c r="F181" s="3" t="str">
        <f t="shared" ref="F181:F183" si="67">"100"</f>
        <v>100</v>
      </c>
      <c r="G181" s="3" t="str">
        <f>"二级"</f>
        <v>二级</v>
      </c>
    </row>
    <row r="182" customHeight="1" spans="1:7">
      <c r="A182" s="3" t="str">
        <f>"2581"</f>
        <v>2581</v>
      </c>
      <c r="B182" s="3" t="s">
        <v>125</v>
      </c>
      <c r="C182" s="3" t="str">
        <f>"裕南街街道"</f>
        <v>裕南街街道</v>
      </c>
      <c r="D182" s="3" t="str">
        <f>"石子冲社区"</f>
        <v>石子冲社区</v>
      </c>
      <c r="E182" s="3" t="str">
        <f t="shared" si="52"/>
        <v>140</v>
      </c>
      <c r="F182" s="3" t="str">
        <f t="shared" si="67"/>
        <v>100</v>
      </c>
      <c r="G182" s="3" t="str">
        <f t="shared" si="66"/>
        <v>一级</v>
      </c>
    </row>
    <row r="183" customHeight="1" spans="1:7">
      <c r="A183" s="3" t="str">
        <f>"2582"</f>
        <v>2582</v>
      </c>
      <c r="B183" s="3" t="s">
        <v>476</v>
      </c>
      <c r="C183" s="3" t="str">
        <f>"暮云街道"</f>
        <v>暮云街道</v>
      </c>
      <c r="D183" s="3" t="str">
        <f>"云塘社区"</f>
        <v>云塘社区</v>
      </c>
      <c r="E183" s="3" t="str">
        <f t="shared" si="52"/>
        <v>140</v>
      </c>
      <c r="F183" s="3" t="str">
        <f t="shared" si="67"/>
        <v>100</v>
      </c>
      <c r="G183" s="3" t="str">
        <f t="shared" si="66"/>
        <v>一级</v>
      </c>
    </row>
    <row r="184" customHeight="1" spans="1:7">
      <c r="A184" s="3" t="str">
        <f>"2583"</f>
        <v>2583</v>
      </c>
      <c r="B184" s="3" t="s">
        <v>1263</v>
      </c>
      <c r="C184" s="3" t="str">
        <f>"黑石铺街道"</f>
        <v>黑石铺街道</v>
      </c>
      <c r="D184" s="3" t="str">
        <f>"黑石铺社区"</f>
        <v>黑石铺社区</v>
      </c>
      <c r="E184" s="3" t="str">
        <f t="shared" si="52"/>
        <v>140</v>
      </c>
      <c r="F184" s="3" t="str">
        <f>"0"</f>
        <v>0</v>
      </c>
      <c r="G184" s="3" t="str">
        <f>"四级"</f>
        <v>四级</v>
      </c>
    </row>
    <row r="185" customHeight="1" spans="1:7">
      <c r="A185" s="3" t="str">
        <f>"2584"</f>
        <v>2584</v>
      </c>
      <c r="B185" s="3" t="s">
        <v>1772</v>
      </c>
      <c r="C185" s="3" t="str">
        <f>"金盆岭街道"</f>
        <v>金盆岭街道</v>
      </c>
      <c r="D185" s="3" t="str">
        <f>"涂新社区"</f>
        <v>涂新社区</v>
      </c>
      <c r="E185" s="3" t="str">
        <f t="shared" si="52"/>
        <v>140</v>
      </c>
      <c r="F185" s="3" t="str">
        <f t="shared" ref="F185:F204" si="68">"100"</f>
        <v>100</v>
      </c>
      <c r="G185" s="3" t="str">
        <f t="shared" ref="G185:G189" si="69">"二级"</f>
        <v>二级</v>
      </c>
    </row>
    <row r="186" customHeight="1" spans="1:7">
      <c r="A186" s="3" t="str">
        <f>"2585"</f>
        <v>2585</v>
      </c>
      <c r="B186" s="3" t="s">
        <v>1773</v>
      </c>
      <c r="C186" s="3" t="str">
        <f>"金盆岭街道"</f>
        <v>金盆岭街道</v>
      </c>
      <c r="D186" s="3" t="str">
        <f>"涂新社区"</f>
        <v>涂新社区</v>
      </c>
      <c r="E186" s="3" t="str">
        <f t="shared" si="52"/>
        <v>140</v>
      </c>
      <c r="F186" s="3" t="str">
        <f t="shared" si="68"/>
        <v>100</v>
      </c>
      <c r="G186" s="3" t="str">
        <f t="shared" ref="G186:G191" si="70">"一级"</f>
        <v>一级</v>
      </c>
    </row>
    <row r="187" customHeight="1" spans="1:7">
      <c r="A187" s="3" t="str">
        <f>"2586"</f>
        <v>2586</v>
      </c>
      <c r="B187" s="3" t="s">
        <v>76</v>
      </c>
      <c r="C187" s="3" t="str">
        <f>"青园街道"</f>
        <v>青园街道</v>
      </c>
      <c r="D187" s="3" t="str">
        <f>"青园社区"</f>
        <v>青园社区</v>
      </c>
      <c r="E187" s="3" t="str">
        <f t="shared" si="52"/>
        <v>140</v>
      </c>
      <c r="F187" s="3" t="str">
        <f t="shared" si="68"/>
        <v>100</v>
      </c>
      <c r="G187" s="3" t="str">
        <f t="shared" si="69"/>
        <v>二级</v>
      </c>
    </row>
    <row r="188" customHeight="1" spans="1:7">
      <c r="A188" s="3" t="str">
        <f>"2587"</f>
        <v>2587</v>
      </c>
      <c r="B188" s="3" t="s">
        <v>80</v>
      </c>
      <c r="C188" s="3" t="str">
        <f t="shared" ref="C188:C193" si="71">"裕南街街道"</f>
        <v>裕南街街道</v>
      </c>
      <c r="D188" s="3" t="str">
        <f>"长坡社区"</f>
        <v>长坡社区</v>
      </c>
      <c r="E188" s="3" t="str">
        <f t="shared" si="52"/>
        <v>140</v>
      </c>
      <c r="F188" s="3" t="str">
        <f t="shared" si="68"/>
        <v>100</v>
      </c>
      <c r="G188" s="3" t="str">
        <f t="shared" si="69"/>
        <v>二级</v>
      </c>
    </row>
    <row r="189" customHeight="1" spans="1:7">
      <c r="A189" s="3" t="str">
        <f>"2588"</f>
        <v>2588</v>
      </c>
      <c r="B189" s="3" t="s">
        <v>235</v>
      </c>
      <c r="C189" s="3" t="str">
        <f t="shared" si="71"/>
        <v>裕南街街道</v>
      </c>
      <c r="D189" s="3" t="str">
        <f>"仰天湖社区"</f>
        <v>仰天湖社区</v>
      </c>
      <c r="E189" s="3" t="str">
        <f t="shared" si="52"/>
        <v>140</v>
      </c>
      <c r="F189" s="3" t="str">
        <f t="shared" si="68"/>
        <v>100</v>
      </c>
      <c r="G189" s="3" t="str">
        <f t="shared" si="69"/>
        <v>二级</v>
      </c>
    </row>
    <row r="190" customHeight="1" spans="1:7">
      <c r="A190" s="3" t="str">
        <f>"2589"</f>
        <v>2589</v>
      </c>
      <c r="B190" s="3" t="s">
        <v>1774</v>
      </c>
      <c r="C190" s="3" t="str">
        <f>"赤岭路街道"</f>
        <v>赤岭路街道</v>
      </c>
      <c r="D190" s="3" t="str">
        <f>"南大桥社区"</f>
        <v>南大桥社区</v>
      </c>
      <c r="E190" s="3" t="str">
        <f t="shared" si="52"/>
        <v>140</v>
      </c>
      <c r="F190" s="3" t="str">
        <f t="shared" si="68"/>
        <v>100</v>
      </c>
      <c r="G190" s="3" t="str">
        <f t="shared" si="70"/>
        <v>一级</v>
      </c>
    </row>
    <row r="191" customHeight="1" spans="1:7">
      <c r="A191" s="3" t="str">
        <f>"2590"</f>
        <v>2590</v>
      </c>
      <c r="B191" s="3" t="s">
        <v>1775</v>
      </c>
      <c r="C191" s="3" t="str">
        <f>"青园街道"</f>
        <v>青园街道</v>
      </c>
      <c r="D191" s="3" t="str">
        <f>"井湾子社区"</f>
        <v>井湾子社区</v>
      </c>
      <c r="E191" s="3" t="str">
        <f t="shared" si="52"/>
        <v>140</v>
      </c>
      <c r="F191" s="3" t="str">
        <f t="shared" si="68"/>
        <v>100</v>
      </c>
      <c r="G191" s="3" t="str">
        <f t="shared" si="70"/>
        <v>一级</v>
      </c>
    </row>
    <row r="192" customHeight="1" spans="1:7">
      <c r="A192" s="3" t="str">
        <f>"2591"</f>
        <v>2591</v>
      </c>
      <c r="B192" s="3" t="s">
        <v>500</v>
      </c>
      <c r="C192" s="3" t="str">
        <f>"暮云街道"</f>
        <v>暮云街道</v>
      </c>
      <c r="D192" s="3" t="str">
        <f>"许兴村"</f>
        <v>许兴村</v>
      </c>
      <c r="E192" s="3" t="str">
        <f t="shared" si="52"/>
        <v>140</v>
      </c>
      <c r="F192" s="3" t="str">
        <f t="shared" si="68"/>
        <v>100</v>
      </c>
      <c r="G192" s="3" t="str">
        <f t="shared" ref="G192:G197" si="72">"二级"</f>
        <v>二级</v>
      </c>
    </row>
    <row r="193" customHeight="1" spans="1:7">
      <c r="A193" s="3" t="str">
        <f>"2592"</f>
        <v>2592</v>
      </c>
      <c r="B193" s="3" t="s">
        <v>1561</v>
      </c>
      <c r="C193" s="3" t="str">
        <f t="shared" si="71"/>
        <v>裕南街街道</v>
      </c>
      <c r="D193" s="3" t="str">
        <f>"裕南街社区"</f>
        <v>裕南街社区</v>
      </c>
      <c r="E193" s="3" t="str">
        <f t="shared" si="52"/>
        <v>140</v>
      </c>
      <c r="F193" s="3" t="str">
        <f t="shared" si="68"/>
        <v>100</v>
      </c>
      <c r="G193" s="3" t="str">
        <f t="shared" si="72"/>
        <v>二级</v>
      </c>
    </row>
    <row r="194" customHeight="1" spans="1:7">
      <c r="A194" s="3" t="str">
        <f>"2593"</f>
        <v>2593</v>
      </c>
      <c r="B194" s="3" t="s">
        <v>1776</v>
      </c>
      <c r="C194" s="3" t="str">
        <f t="shared" ref="C194:C196" si="73">"坡子街街道"</f>
        <v>坡子街街道</v>
      </c>
      <c r="D194" s="3" t="str">
        <f>"文庙坪社区"</f>
        <v>文庙坪社区</v>
      </c>
      <c r="E194" s="3" t="str">
        <f t="shared" ref="E194:E257" si="74">"140"</f>
        <v>140</v>
      </c>
      <c r="F194" s="3" t="str">
        <f t="shared" si="68"/>
        <v>100</v>
      </c>
      <c r="G194" s="3" t="str">
        <f t="shared" si="72"/>
        <v>二级</v>
      </c>
    </row>
    <row r="195" customHeight="1" spans="1:7">
      <c r="A195" s="3" t="str">
        <f>"2594"</f>
        <v>2594</v>
      </c>
      <c r="B195" s="3" t="s">
        <v>76</v>
      </c>
      <c r="C195" s="3" t="str">
        <f t="shared" si="73"/>
        <v>坡子街街道</v>
      </c>
      <c r="D195" s="3" t="str">
        <f>"文庙坪社区"</f>
        <v>文庙坪社区</v>
      </c>
      <c r="E195" s="3" t="str">
        <f t="shared" si="74"/>
        <v>140</v>
      </c>
      <c r="F195" s="3" t="str">
        <f t="shared" si="68"/>
        <v>100</v>
      </c>
      <c r="G195" s="3" t="str">
        <f t="shared" si="72"/>
        <v>二级</v>
      </c>
    </row>
    <row r="196" customHeight="1" spans="1:7">
      <c r="A196" s="3" t="str">
        <f>"2595"</f>
        <v>2595</v>
      </c>
      <c r="B196" s="3" t="s">
        <v>139</v>
      </c>
      <c r="C196" s="3" t="str">
        <f t="shared" si="73"/>
        <v>坡子街街道</v>
      </c>
      <c r="D196" s="3" t="str">
        <f>"坡子街社区"</f>
        <v>坡子街社区</v>
      </c>
      <c r="E196" s="3" t="str">
        <f t="shared" si="74"/>
        <v>140</v>
      </c>
      <c r="F196" s="3" t="str">
        <f t="shared" si="68"/>
        <v>100</v>
      </c>
      <c r="G196" s="3" t="str">
        <f t="shared" si="72"/>
        <v>二级</v>
      </c>
    </row>
    <row r="197" customHeight="1" spans="1:7">
      <c r="A197" s="3" t="str">
        <f>"2596"</f>
        <v>2596</v>
      </c>
      <c r="B197" s="3" t="s">
        <v>139</v>
      </c>
      <c r="C197" s="3" t="str">
        <f>"先锋街道"</f>
        <v>先锋街道</v>
      </c>
      <c r="D197" s="3" t="str">
        <f>"新路村委会"</f>
        <v>新路村委会</v>
      </c>
      <c r="E197" s="3" t="str">
        <f t="shared" si="74"/>
        <v>140</v>
      </c>
      <c r="F197" s="3" t="str">
        <f t="shared" si="68"/>
        <v>100</v>
      </c>
      <c r="G197" s="3" t="str">
        <f t="shared" si="72"/>
        <v>二级</v>
      </c>
    </row>
    <row r="198" customHeight="1" spans="1:7">
      <c r="A198" s="3" t="str">
        <f>"2597"</f>
        <v>2597</v>
      </c>
      <c r="B198" s="3" t="s">
        <v>1777</v>
      </c>
      <c r="C198" s="3" t="str">
        <f>"青园街道"</f>
        <v>青园街道</v>
      </c>
      <c r="D198" s="3" t="str">
        <f>"井湾子社区"</f>
        <v>井湾子社区</v>
      </c>
      <c r="E198" s="3" t="str">
        <f t="shared" si="74"/>
        <v>140</v>
      </c>
      <c r="F198" s="3" t="str">
        <f t="shared" si="68"/>
        <v>100</v>
      </c>
      <c r="G198" s="3" t="str">
        <f t="shared" ref="G198:G204" si="75">"一级"</f>
        <v>一级</v>
      </c>
    </row>
    <row r="199" customHeight="1" spans="1:7">
      <c r="A199" s="3" t="str">
        <f>"2598"</f>
        <v>2598</v>
      </c>
      <c r="B199" s="3" t="s">
        <v>1778</v>
      </c>
      <c r="C199" s="3" t="str">
        <f>"青园街道"</f>
        <v>青园街道</v>
      </c>
      <c r="D199" s="3" t="str">
        <f>"友谊社区"</f>
        <v>友谊社区</v>
      </c>
      <c r="E199" s="3" t="str">
        <f t="shared" si="74"/>
        <v>140</v>
      </c>
      <c r="F199" s="3" t="str">
        <f t="shared" si="68"/>
        <v>100</v>
      </c>
      <c r="G199" s="3" t="str">
        <f t="shared" si="75"/>
        <v>一级</v>
      </c>
    </row>
    <row r="200" customHeight="1" spans="1:7">
      <c r="A200" s="3" t="str">
        <f>"2599"</f>
        <v>2599</v>
      </c>
      <c r="B200" s="3" t="s">
        <v>1779</v>
      </c>
      <c r="C200" s="3" t="str">
        <f>"先锋街道"</f>
        <v>先锋街道</v>
      </c>
      <c r="D200" s="3" t="str">
        <f>"嘉和社区"</f>
        <v>嘉和社区</v>
      </c>
      <c r="E200" s="3" t="str">
        <f t="shared" si="74"/>
        <v>140</v>
      </c>
      <c r="F200" s="3" t="str">
        <f t="shared" si="68"/>
        <v>100</v>
      </c>
      <c r="G200" s="3" t="str">
        <f t="shared" ref="G200:G202" si="76">"二级"</f>
        <v>二级</v>
      </c>
    </row>
    <row r="201" customHeight="1" spans="1:7">
      <c r="A201" s="3" t="str">
        <f>"2600"</f>
        <v>2600</v>
      </c>
      <c r="B201" s="3" t="s">
        <v>76</v>
      </c>
      <c r="C201" s="3" t="str">
        <f>"赤岭路街道"</f>
        <v>赤岭路街道</v>
      </c>
      <c r="D201" s="3" t="str">
        <f>"南大桥社区"</f>
        <v>南大桥社区</v>
      </c>
      <c r="E201" s="3" t="str">
        <f t="shared" si="74"/>
        <v>140</v>
      </c>
      <c r="F201" s="3" t="str">
        <f t="shared" si="68"/>
        <v>100</v>
      </c>
      <c r="G201" s="3" t="str">
        <f t="shared" si="76"/>
        <v>二级</v>
      </c>
    </row>
    <row r="202" customHeight="1" spans="1:7">
      <c r="A202" s="3" t="str">
        <f>"2601"</f>
        <v>2601</v>
      </c>
      <c r="B202" s="3" t="s">
        <v>1780</v>
      </c>
      <c r="C202" s="3" t="str">
        <f>"城南路街道"</f>
        <v>城南路街道</v>
      </c>
      <c r="D202" s="3" t="str">
        <f>"熙台岭社区"</f>
        <v>熙台岭社区</v>
      </c>
      <c r="E202" s="3" t="str">
        <f t="shared" si="74"/>
        <v>140</v>
      </c>
      <c r="F202" s="3" t="str">
        <f t="shared" si="68"/>
        <v>100</v>
      </c>
      <c r="G202" s="3" t="str">
        <f t="shared" si="76"/>
        <v>二级</v>
      </c>
    </row>
    <row r="203" customHeight="1" spans="1:7">
      <c r="A203" s="3" t="str">
        <f>"2602"</f>
        <v>2602</v>
      </c>
      <c r="B203" s="3" t="s">
        <v>1781</v>
      </c>
      <c r="C203" s="3" t="str">
        <f>"南托街道"</f>
        <v>南托街道</v>
      </c>
      <c r="D203" s="3" t="str">
        <f>"牛角塘村"</f>
        <v>牛角塘村</v>
      </c>
      <c r="E203" s="3" t="str">
        <f t="shared" si="74"/>
        <v>140</v>
      </c>
      <c r="F203" s="3" t="str">
        <f t="shared" si="68"/>
        <v>100</v>
      </c>
      <c r="G203" s="3" t="str">
        <f t="shared" si="75"/>
        <v>一级</v>
      </c>
    </row>
    <row r="204" customHeight="1" spans="1:7">
      <c r="A204" s="3" t="str">
        <f>"2603"</f>
        <v>2603</v>
      </c>
      <c r="B204" s="3" t="s">
        <v>1782</v>
      </c>
      <c r="C204" s="3" t="str">
        <f t="shared" ref="C204:C207" si="77">"坡子街街道"</f>
        <v>坡子街街道</v>
      </c>
      <c r="D204" s="3" t="str">
        <f>"楚湘社区"</f>
        <v>楚湘社区</v>
      </c>
      <c r="E204" s="3" t="str">
        <f t="shared" si="74"/>
        <v>140</v>
      </c>
      <c r="F204" s="3" t="str">
        <f t="shared" si="68"/>
        <v>100</v>
      </c>
      <c r="G204" s="3" t="str">
        <f t="shared" si="75"/>
        <v>一级</v>
      </c>
    </row>
    <row r="205" customHeight="1" spans="1:7">
      <c r="A205" s="3" t="str">
        <f>"2604"</f>
        <v>2604</v>
      </c>
      <c r="B205" s="3" t="s">
        <v>1783</v>
      </c>
      <c r="C205" s="3" t="str">
        <f t="shared" si="77"/>
        <v>坡子街街道</v>
      </c>
      <c r="D205" s="3" t="str">
        <f>"创远社区"</f>
        <v>创远社区</v>
      </c>
      <c r="E205" s="3" t="str">
        <f t="shared" si="74"/>
        <v>140</v>
      </c>
      <c r="F205" s="3" t="str">
        <f>"0"</f>
        <v>0</v>
      </c>
      <c r="G205" s="3" t="str">
        <f>"四级"</f>
        <v>四级</v>
      </c>
    </row>
    <row r="206" customHeight="1" spans="1:7">
      <c r="A206" s="3" t="str">
        <f>"2605"</f>
        <v>2605</v>
      </c>
      <c r="B206" s="3" t="s">
        <v>1784</v>
      </c>
      <c r="C206" s="3" t="str">
        <f>"暮云街道"</f>
        <v>暮云街道</v>
      </c>
      <c r="D206" s="3" t="str">
        <f>"许兴村"</f>
        <v>许兴村</v>
      </c>
      <c r="E206" s="3" t="str">
        <f t="shared" si="74"/>
        <v>140</v>
      </c>
      <c r="F206" s="3" t="str">
        <f t="shared" ref="F206:F220" si="78">"100"</f>
        <v>100</v>
      </c>
      <c r="G206" s="3" t="str">
        <f t="shared" ref="G206:G220" si="79">"二级"</f>
        <v>二级</v>
      </c>
    </row>
    <row r="207" customHeight="1" spans="1:7">
      <c r="A207" s="3" t="str">
        <f>"2606"</f>
        <v>2606</v>
      </c>
      <c r="B207" s="3" t="s">
        <v>1785</v>
      </c>
      <c r="C207" s="3" t="str">
        <f t="shared" si="77"/>
        <v>坡子街街道</v>
      </c>
      <c r="D207" s="3" t="str">
        <f>"青山祠社区"</f>
        <v>青山祠社区</v>
      </c>
      <c r="E207" s="3" t="str">
        <f t="shared" si="74"/>
        <v>140</v>
      </c>
      <c r="F207" s="3" t="str">
        <f t="shared" si="78"/>
        <v>100</v>
      </c>
      <c r="G207" s="3" t="str">
        <f t="shared" si="79"/>
        <v>二级</v>
      </c>
    </row>
    <row r="208" customHeight="1" spans="1:7">
      <c r="A208" s="3" t="str">
        <f>"2607"</f>
        <v>2607</v>
      </c>
      <c r="B208" s="3" t="s">
        <v>335</v>
      </c>
      <c r="C208" s="3" t="str">
        <f>"先锋街道"</f>
        <v>先锋街道</v>
      </c>
      <c r="D208" s="3" t="str">
        <f>"尚双塘社区"</f>
        <v>尚双塘社区</v>
      </c>
      <c r="E208" s="3" t="str">
        <f t="shared" si="74"/>
        <v>140</v>
      </c>
      <c r="F208" s="3" t="str">
        <f t="shared" si="78"/>
        <v>100</v>
      </c>
      <c r="G208" s="3" t="str">
        <f t="shared" si="79"/>
        <v>二级</v>
      </c>
    </row>
    <row r="209" customHeight="1" spans="1:7">
      <c r="A209" s="3" t="str">
        <f>"2608"</f>
        <v>2608</v>
      </c>
      <c r="B209" s="3" t="s">
        <v>1786</v>
      </c>
      <c r="C209" s="3" t="str">
        <f>"坡子街街道"</f>
        <v>坡子街街道</v>
      </c>
      <c r="D209" s="3" t="str">
        <f>"登仁桥社区"</f>
        <v>登仁桥社区</v>
      </c>
      <c r="E209" s="3" t="str">
        <f t="shared" si="74"/>
        <v>140</v>
      </c>
      <c r="F209" s="3" t="str">
        <f t="shared" si="78"/>
        <v>100</v>
      </c>
      <c r="G209" s="3" t="str">
        <f t="shared" si="79"/>
        <v>二级</v>
      </c>
    </row>
    <row r="210" customHeight="1" spans="1:7">
      <c r="A210" s="3" t="str">
        <f>"2609"</f>
        <v>2609</v>
      </c>
      <c r="B210" s="3" t="s">
        <v>135</v>
      </c>
      <c r="C210" s="3" t="str">
        <f>"暮云街道"</f>
        <v>暮云街道</v>
      </c>
      <c r="D210" s="3" t="str">
        <f>"卢浮社区"</f>
        <v>卢浮社区</v>
      </c>
      <c r="E210" s="3" t="str">
        <f t="shared" si="74"/>
        <v>140</v>
      </c>
      <c r="F210" s="3" t="str">
        <f t="shared" si="78"/>
        <v>100</v>
      </c>
      <c r="G210" s="3" t="str">
        <f t="shared" si="79"/>
        <v>二级</v>
      </c>
    </row>
    <row r="211" customHeight="1" spans="1:7">
      <c r="A211" s="3" t="str">
        <f>"2610"</f>
        <v>2610</v>
      </c>
      <c r="B211" s="3" t="s">
        <v>1787</v>
      </c>
      <c r="C211" s="3" t="str">
        <f>"坡子街街道"</f>
        <v>坡子街街道</v>
      </c>
      <c r="D211" s="3" t="str">
        <f>"碧湘社区"</f>
        <v>碧湘社区</v>
      </c>
      <c r="E211" s="3" t="str">
        <f t="shared" si="74"/>
        <v>140</v>
      </c>
      <c r="F211" s="3" t="str">
        <f t="shared" si="78"/>
        <v>100</v>
      </c>
      <c r="G211" s="3" t="str">
        <f t="shared" si="79"/>
        <v>二级</v>
      </c>
    </row>
    <row r="212" customHeight="1" spans="1:7">
      <c r="A212" s="3" t="str">
        <f>"2611"</f>
        <v>2611</v>
      </c>
      <c r="B212" s="3" t="s">
        <v>70</v>
      </c>
      <c r="C212" s="3" t="str">
        <f>"黑石铺街道"</f>
        <v>黑石铺街道</v>
      </c>
      <c r="D212" s="3" t="str">
        <f>"一力社区"</f>
        <v>一力社区</v>
      </c>
      <c r="E212" s="3" t="str">
        <f t="shared" si="74"/>
        <v>140</v>
      </c>
      <c r="F212" s="3" t="str">
        <f t="shared" si="78"/>
        <v>100</v>
      </c>
      <c r="G212" s="3" t="str">
        <f t="shared" si="79"/>
        <v>二级</v>
      </c>
    </row>
    <row r="213" customHeight="1" spans="1:7">
      <c r="A213" s="3" t="str">
        <f>"2612"</f>
        <v>2612</v>
      </c>
      <c r="B213" s="3" t="s">
        <v>1788</v>
      </c>
      <c r="C213" s="3" t="str">
        <f>"南托街道"</f>
        <v>南托街道</v>
      </c>
      <c r="D213" s="3" t="str">
        <f>"北塘社区"</f>
        <v>北塘社区</v>
      </c>
      <c r="E213" s="3" t="str">
        <f t="shared" si="74"/>
        <v>140</v>
      </c>
      <c r="F213" s="3" t="str">
        <f t="shared" si="78"/>
        <v>100</v>
      </c>
      <c r="G213" s="3" t="str">
        <f t="shared" si="79"/>
        <v>二级</v>
      </c>
    </row>
    <row r="214" customHeight="1" spans="1:7">
      <c r="A214" s="3" t="str">
        <f>"2613"</f>
        <v>2613</v>
      </c>
      <c r="B214" s="3" t="s">
        <v>1789</v>
      </c>
      <c r="C214" s="3" t="str">
        <f>"南托街道"</f>
        <v>南托街道</v>
      </c>
      <c r="D214" s="3" t="str">
        <f>"融城社区"</f>
        <v>融城社区</v>
      </c>
      <c r="E214" s="3" t="str">
        <f t="shared" si="74"/>
        <v>140</v>
      </c>
      <c r="F214" s="3" t="str">
        <f t="shared" si="78"/>
        <v>100</v>
      </c>
      <c r="G214" s="3" t="str">
        <f t="shared" si="79"/>
        <v>二级</v>
      </c>
    </row>
    <row r="215" customHeight="1" spans="1:7">
      <c r="A215" s="3" t="str">
        <f>"2614"</f>
        <v>2614</v>
      </c>
      <c r="B215" s="3" t="s">
        <v>919</v>
      </c>
      <c r="C215" s="3" t="str">
        <f>"黑石铺街道"</f>
        <v>黑石铺街道</v>
      </c>
      <c r="D215" s="3" t="str">
        <f>"黑石铺社区"</f>
        <v>黑石铺社区</v>
      </c>
      <c r="E215" s="3" t="str">
        <f t="shared" si="74"/>
        <v>140</v>
      </c>
      <c r="F215" s="3" t="str">
        <f t="shared" si="78"/>
        <v>100</v>
      </c>
      <c r="G215" s="3" t="str">
        <f t="shared" si="79"/>
        <v>二级</v>
      </c>
    </row>
    <row r="216" customHeight="1" spans="1:7">
      <c r="A216" s="3" t="str">
        <f>"2615"</f>
        <v>2615</v>
      </c>
      <c r="B216" s="3" t="s">
        <v>77</v>
      </c>
      <c r="C216" s="3" t="str">
        <f>"大托铺街道"</f>
        <v>大托铺街道</v>
      </c>
      <c r="D216" s="3" t="str">
        <f>"桂井村委会"</f>
        <v>桂井村委会</v>
      </c>
      <c r="E216" s="3" t="str">
        <f t="shared" si="74"/>
        <v>140</v>
      </c>
      <c r="F216" s="3" t="str">
        <f t="shared" si="78"/>
        <v>100</v>
      </c>
      <c r="G216" s="3" t="str">
        <f t="shared" si="79"/>
        <v>二级</v>
      </c>
    </row>
    <row r="217" customHeight="1" spans="1:7">
      <c r="A217" s="3" t="str">
        <f>"2616"</f>
        <v>2616</v>
      </c>
      <c r="B217" s="3" t="s">
        <v>1148</v>
      </c>
      <c r="C217" s="3" t="str">
        <f>"大托铺街道"</f>
        <v>大托铺街道</v>
      </c>
      <c r="D217" s="3" t="str">
        <f>"桂井村委会"</f>
        <v>桂井村委会</v>
      </c>
      <c r="E217" s="3" t="str">
        <f t="shared" si="74"/>
        <v>140</v>
      </c>
      <c r="F217" s="3" t="str">
        <f t="shared" si="78"/>
        <v>100</v>
      </c>
      <c r="G217" s="3" t="str">
        <f t="shared" si="79"/>
        <v>二级</v>
      </c>
    </row>
    <row r="218" customHeight="1" spans="1:7">
      <c r="A218" s="3" t="str">
        <f>"2617"</f>
        <v>2617</v>
      </c>
      <c r="B218" s="3" t="s">
        <v>1790</v>
      </c>
      <c r="C218" s="3" t="str">
        <f t="shared" ref="C218:C221" si="80">"坡子街街道"</f>
        <v>坡子街街道</v>
      </c>
      <c r="D218" s="3" t="str">
        <f>"西牌楼社区"</f>
        <v>西牌楼社区</v>
      </c>
      <c r="E218" s="3" t="str">
        <f t="shared" si="74"/>
        <v>140</v>
      </c>
      <c r="F218" s="3" t="str">
        <f t="shared" si="78"/>
        <v>100</v>
      </c>
      <c r="G218" s="3" t="str">
        <f t="shared" si="79"/>
        <v>二级</v>
      </c>
    </row>
    <row r="219" customHeight="1" spans="1:7">
      <c r="A219" s="3" t="str">
        <f>"2618"</f>
        <v>2618</v>
      </c>
      <c r="B219" s="3" t="s">
        <v>1791</v>
      </c>
      <c r="C219" s="3" t="str">
        <f t="shared" si="80"/>
        <v>坡子街街道</v>
      </c>
      <c r="D219" s="3" t="str">
        <f>"文庙坪社区"</f>
        <v>文庙坪社区</v>
      </c>
      <c r="E219" s="3" t="str">
        <f t="shared" si="74"/>
        <v>140</v>
      </c>
      <c r="F219" s="3" t="str">
        <f t="shared" si="78"/>
        <v>100</v>
      </c>
      <c r="G219" s="3" t="str">
        <f t="shared" si="79"/>
        <v>二级</v>
      </c>
    </row>
    <row r="220" customHeight="1" spans="1:7">
      <c r="A220" s="3" t="str">
        <f>"2619"</f>
        <v>2619</v>
      </c>
      <c r="B220" s="3" t="s">
        <v>854</v>
      </c>
      <c r="C220" s="3" t="str">
        <f t="shared" si="80"/>
        <v>坡子街街道</v>
      </c>
      <c r="D220" s="3" t="str">
        <f>"文庙坪社区"</f>
        <v>文庙坪社区</v>
      </c>
      <c r="E220" s="3" t="str">
        <f t="shared" si="74"/>
        <v>140</v>
      </c>
      <c r="F220" s="3" t="str">
        <f t="shared" si="78"/>
        <v>100</v>
      </c>
      <c r="G220" s="3" t="str">
        <f t="shared" si="79"/>
        <v>二级</v>
      </c>
    </row>
    <row r="221" customHeight="1" spans="1:7">
      <c r="A221" s="3" t="str">
        <f>"2620"</f>
        <v>2620</v>
      </c>
      <c r="B221" s="3" t="s">
        <v>1792</v>
      </c>
      <c r="C221" s="3" t="str">
        <f t="shared" si="80"/>
        <v>坡子街街道</v>
      </c>
      <c r="D221" s="3" t="str">
        <f>"创远社区"</f>
        <v>创远社区</v>
      </c>
      <c r="E221" s="3" t="str">
        <f t="shared" si="74"/>
        <v>140</v>
      </c>
      <c r="F221" s="3" t="str">
        <f t="shared" ref="F221:F224" si="81">"0"</f>
        <v>0</v>
      </c>
      <c r="G221" s="3" t="str">
        <f t="shared" ref="G221:G224" si="82">"四级"</f>
        <v>四级</v>
      </c>
    </row>
    <row r="222" customHeight="1" spans="1:7">
      <c r="A222" s="3" t="str">
        <f>"2621"</f>
        <v>2621</v>
      </c>
      <c r="B222" s="3" t="s">
        <v>1793</v>
      </c>
      <c r="C222" s="3" t="str">
        <f>"桂花坪街道"</f>
        <v>桂花坪街道</v>
      </c>
      <c r="D222" s="3" t="str">
        <f>"九峰苑社区"</f>
        <v>九峰苑社区</v>
      </c>
      <c r="E222" s="3" t="str">
        <f t="shared" si="74"/>
        <v>140</v>
      </c>
      <c r="F222" s="3" t="str">
        <f t="shared" ref="F222:F226" si="83">"100"</f>
        <v>100</v>
      </c>
      <c r="G222" s="3" t="str">
        <f>"二级"</f>
        <v>二级</v>
      </c>
    </row>
    <row r="223" customHeight="1" spans="1:7">
      <c r="A223" s="3" t="str">
        <f>"2622"</f>
        <v>2622</v>
      </c>
      <c r="B223" s="3" t="s">
        <v>618</v>
      </c>
      <c r="C223" s="3" t="str">
        <f>"大托铺街道"</f>
        <v>大托铺街道</v>
      </c>
      <c r="D223" s="3" t="str">
        <f>"兴隆村委会"</f>
        <v>兴隆村委会</v>
      </c>
      <c r="E223" s="3" t="str">
        <f t="shared" si="74"/>
        <v>140</v>
      </c>
      <c r="F223" s="3" t="str">
        <f t="shared" si="81"/>
        <v>0</v>
      </c>
      <c r="G223" s="3" t="str">
        <f t="shared" si="82"/>
        <v>四级</v>
      </c>
    </row>
    <row r="224" customHeight="1" spans="1:7">
      <c r="A224" s="3" t="str">
        <f>"2623"</f>
        <v>2623</v>
      </c>
      <c r="B224" s="3" t="s">
        <v>32</v>
      </c>
      <c r="C224" s="3" t="str">
        <f>"新开铺街道"</f>
        <v>新开铺街道</v>
      </c>
      <c r="D224" s="3" t="str">
        <f>"新开铺社区"</f>
        <v>新开铺社区</v>
      </c>
      <c r="E224" s="3" t="str">
        <f t="shared" si="74"/>
        <v>140</v>
      </c>
      <c r="F224" s="3" t="str">
        <f t="shared" si="81"/>
        <v>0</v>
      </c>
      <c r="G224" s="3" t="str">
        <f t="shared" si="82"/>
        <v>四级</v>
      </c>
    </row>
    <row r="225" customHeight="1" spans="1:7">
      <c r="A225" s="3" t="str">
        <f>"2624"</f>
        <v>2624</v>
      </c>
      <c r="B225" s="3" t="s">
        <v>1794</v>
      </c>
      <c r="C225" s="3" t="str">
        <f>"新开铺街道"</f>
        <v>新开铺街道</v>
      </c>
      <c r="D225" s="3" t="str">
        <f>"新开铺社区"</f>
        <v>新开铺社区</v>
      </c>
      <c r="E225" s="3" t="str">
        <f t="shared" si="74"/>
        <v>140</v>
      </c>
      <c r="F225" s="3" t="str">
        <f t="shared" si="83"/>
        <v>100</v>
      </c>
      <c r="G225" s="3" t="str">
        <f>"二级"</f>
        <v>二级</v>
      </c>
    </row>
    <row r="226" customHeight="1" spans="1:7">
      <c r="A226" s="3" t="str">
        <f>"2625"</f>
        <v>2625</v>
      </c>
      <c r="B226" s="3" t="s">
        <v>1795</v>
      </c>
      <c r="C226" s="3" t="str">
        <f>"暮云街道"</f>
        <v>暮云街道</v>
      </c>
      <c r="D226" s="3" t="str">
        <f>"暮云新村"</f>
        <v>暮云新村</v>
      </c>
      <c r="E226" s="3" t="str">
        <f t="shared" si="74"/>
        <v>140</v>
      </c>
      <c r="F226" s="3" t="str">
        <f t="shared" si="83"/>
        <v>100</v>
      </c>
      <c r="G226" s="3" t="str">
        <f>"一级"</f>
        <v>一级</v>
      </c>
    </row>
    <row r="227" customHeight="1" spans="1:7">
      <c r="A227" s="3" t="str">
        <f>"2626"</f>
        <v>2626</v>
      </c>
      <c r="B227" s="3" t="s">
        <v>1796</v>
      </c>
      <c r="C227" s="3" t="str">
        <f>"青园街道"</f>
        <v>青园街道</v>
      </c>
      <c r="D227" s="3" t="str">
        <f>"青园社区"</f>
        <v>青园社区</v>
      </c>
      <c r="E227" s="3" t="str">
        <f t="shared" si="74"/>
        <v>140</v>
      </c>
      <c r="F227" s="3" t="str">
        <f t="shared" ref="F227:F231" si="84">"0"</f>
        <v>0</v>
      </c>
      <c r="G227" s="3" t="str">
        <f>"四级"</f>
        <v>四级</v>
      </c>
    </row>
    <row r="228" customHeight="1" spans="1:7">
      <c r="A228" s="3" t="str">
        <f>"2627"</f>
        <v>2627</v>
      </c>
      <c r="B228" s="3" t="s">
        <v>32</v>
      </c>
      <c r="C228" s="3" t="str">
        <f>"金盆岭街道"</f>
        <v>金盆岭街道</v>
      </c>
      <c r="D228" s="3" t="str">
        <f>"黄土岭社区"</f>
        <v>黄土岭社区</v>
      </c>
      <c r="E228" s="3" t="str">
        <f t="shared" si="74"/>
        <v>140</v>
      </c>
      <c r="F228" s="3" t="str">
        <f t="shared" si="84"/>
        <v>0</v>
      </c>
      <c r="G228" s="3" t="str">
        <f>"三级"</f>
        <v>三级</v>
      </c>
    </row>
    <row r="229" customHeight="1" spans="1:7">
      <c r="A229" s="3" t="str">
        <f>"2628"</f>
        <v>2628</v>
      </c>
      <c r="B229" s="3" t="s">
        <v>1797</v>
      </c>
      <c r="C229" s="3" t="str">
        <f t="shared" ref="C229:C235" si="85">"坡子街街道"</f>
        <v>坡子街街道</v>
      </c>
      <c r="D229" s="3" t="str">
        <f>"登仁桥社区"</f>
        <v>登仁桥社区</v>
      </c>
      <c r="E229" s="3" t="str">
        <f t="shared" si="74"/>
        <v>140</v>
      </c>
      <c r="F229" s="3" t="str">
        <f t="shared" ref="F229:F233" si="86">"100"</f>
        <v>100</v>
      </c>
      <c r="G229" s="3" t="str">
        <f t="shared" ref="G229:G233" si="87">"二级"</f>
        <v>二级</v>
      </c>
    </row>
    <row r="230" customHeight="1" spans="1:7">
      <c r="A230" s="3" t="str">
        <f>"2629"</f>
        <v>2629</v>
      </c>
      <c r="B230" s="3" t="s">
        <v>110</v>
      </c>
      <c r="C230" s="3" t="str">
        <f>"裕南街街道"</f>
        <v>裕南街街道</v>
      </c>
      <c r="D230" s="3" t="str">
        <f>"火把山社区"</f>
        <v>火把山社区</v>
      </c>
      <c r="E230" s="3" t="str">
        <f t="shared" si="74"/>
        <v>140</v>
      </c>
      <c r="F230" s="3" t="str">
        <f t="shared" si="86"/>
        <v>100</v>
      </c>
      <c r="G230" s="3" t="str">
        <f>"一级"</f>
        <v>一级</v>
      </c>
    </row>
    <row r="231" customHeight="1" spans="1:7">
      <c r="A231" s="3" t="str">
        <f>"2630"</f>
        <v>2630</v>
      </c>
      <c r="B231" s="3" t="s">
        <v>261</v>
      </c>
      <c r="C231" s="3" t="str">
        <f t="shared" si="85"/>
        <v>坡子街街道</v>
      </c>
      <c r="D231" s="3" t="str">
        <f>"文庙坪社区"</f>
        <v>文庙坪社区</v>
      </c>
      <c r="E231" s="3" t="str">
        <f t="shared" si="74"/>
        <v>140</v>
      </c>
      <c r="F231" s="3" t="str">
        <f t="shared" si="84"/>
        <v>0</v>
      </c>
      <c r="G231" s="3" t="str">
        <f>"三级"</f>
        <v>三级</v>
      </c>
    </row>
    <row r="232" customHeight="1" spans="1:7">
      <c r="A232" s="3" t="str">
        <f>"2631"</f>
        <v>2631</v>
      </c>
      <c r="B232" s="3" t="s">
        <v>1798</v>
      </c>
      <c r="C232" s="3" t="str">
        <f>"文源街道"</f>
        <v>文源街道</v>
      </c>
      <c r="D232" s="3" t="str">
        <f>"梅岭社区"</f>
        <v>梅岭社区</v>
      </c>
      <c r="E232" s="3" t="str">
        <f t="shared" si="74"/>
        <v>140</v>
      </c>
      <c r="F232" s="3" t="str">
        <f t="shared" si="86"/>
        <v>100</v>
      </c>
      <c r="G232" s="3" t="str">
        <f t="shared" si="87"/>
        <v>二级</v>
      </c>
    </row>
    <row r="233" customHeight="1" spans="1:7">
      <c r="A233" s="3" t="str">
        <f>"2632"</f>
        <v>2632</v>
      </c>
      <c r="B233" s="3" t="s">
        <v>1799</v>
      </c>
      <c r="C233" s="3" t="str">
        <f>"青园街道"</f>
        <v>青园街道</v>
      </c>
      <c r="D233" s="3" t="str">
        <f>"井湾子社区"</f>
        <v>井湾子社区</v>
      </c>
      <c r="E233" s="3" t="str">
        <f t="shared" si="74"/>
        <v>140</v>
      </c>
      <c r="F233" s="3" t="str">
        <f t="shared" si="86"/>
        <v>100</v>
      </c>
      <c r="G233" s="3" t="str">
        <f t="shared" si="87"/>
        <v>二级</v>
      </c>
    </row>
    <row r="234" customHeight="1" spans="1:7">
      <c r="A234" s="3" t="str">
        <f>"2633"</f>
        <v>2633</v>
      </c>
      <c r="B234" s="3" t="s">
        <v>1800</v>
      </c>
      <c r="C234" s="3" t="str">
        <f t="shared" si="85"/>
        <v>坡子街街道</v>
      </c>
      <c r="D234" s="3" t="str">
        <f>"八角亭社区"</f>
        <v>八角亭社区</v>
      </c>
      <c r="E234" s="3" t="str">
        <f t="shared" si="74"/>
        <v>140</v>
      </c>
      <c r="F234" s="3" t="str">
        <f t="shared" ref="F234:F243" si="88">"0"</f>
        <v>0</v>
      </c>
      <c r="G234" s="3" t="str">
        <f t="shared" ref="G234:G240" si="89">"四级"</f>
        <v>四级</v>
      </c>
    </row>
    <row r="235" customHeight="1" spans="1:7">
      <c r="A235" s="3" t="str">
        <f>"2634"</f>
        <v>2634</v>
      </c>
      <c r="B235" s="3" t="s">
        <v>54</v>
      </c>
      <c r="C235" s="3" t="str">
        <f t="shared" si="85"/>
        <v>坡子街街道</v>
      </c>
      <c r="D235" s="3" t="str">
        <f>"楚湘社区"</f>
        <v>楚湘社区</v>
      </c>
      <c r="E235" s="3" t="str">
        <f t="shared" si="74"/>
        <v>140</v>
      </c>
      <c r="F235" s="3" t="str">
        <f>"100"</f>
        <v>100</v>
      </c>
      <c r="G235" s="3" t="str">
        <f>"二级"</f>
        <v>二级</v>
      </c>
    </row>
    <row r="236" customHeight="1" spans="1:7">
      <c r="A236" s="3" t="str">
        <f>"2635"</f>
        <v>2635</v>
      </c>
      <c r="B236" s="3" t="s">
        <v>1801</v>
      </c>
      <c r="C236" s="3" t="str">
        <f>"裕南街街道"</f>
        <v>裕南街街道</v>
      </c>
      <c r="D236" s="3" t="str">
        <f>"宝塔山社区"</f>
        <v>宝塔山社区</v>
      </c>
      <c r="E236" s="3" t="str">
        <f t="shared" si="74"/>
        <v>140</v>
      </c>
      <c r="F236" s="3" t="str">
        <f t="shared" si="88"/>
        <v>0</v>
      </c>
      <c r="G236" s="3" t="str">
        <f>"三级"</f>
        <v>三级</v>
      </c>
    </row>
    <row r="237" customHeight="1" spans="1:7">
      <c r="A237" s="3" t="str">
        <f>"2636"</f>
        <v>2636</v>
      </c>
      <c r="B237" s="3" t="s">
        <v>1802</v>
      </c>
      <c r="C237" s="3" t="str">
        <f>"暮云街道"</f>
        <v>暮云街道</v>
      </c>
      <c r="D237" s="3" t="str">
        <f>"莲华村"</f>
        <v>莲华村</v>
      </c>
      <c r="E237" s="3" t="str">
        <f t="shared" si="74"/>
        <v>140</v>
      </c>
      <c r="F237" s="3" t="str">
        <f t="shared" si="88"/>
        <v>0</v>
      </c>
      <c r="G237" s="3" t="str">
        <f t="shared" si="89"/>
        <v>四级</v>
      </c>
    </row>
    <row r="238" customHeight="1" spans="1:7">
      <c r="A238" s="3" t="str">
        <f>"2637"</f>
        <v>2637</v>
      </c>
      <c r="B238" s="3" t="s">
        <v>32</v>
      </c>
      <c r="C238" s="3" t="str">
        <f>"金盆岭街道"</f>
        <v>金盆岭街道</v>
      </c>
      <c r="D238" s="3" t="str">
        <f>"赤岭路社区"</f>
        <v>赤岭路社区</v>
      </c>
      <c r="E238" s="3" t="str">
        <f t="shared" si="74"/>
        <v>140</v>
      </c>
      <c r="F238" s="3" t="str">
        <f t="shared" si="88"/>
        <v>0</v>
      </c>
      <c r="G238" s="3" t="str">
        <f t="shared" si="89"/>
        <v>四级</v>
      </c>
    </row>
    <row r="239" customHeight="1" spans="1:7">
      <c r="A239" s="3" t="str">
        <f>"2638"</f>
        <v>2638</v>
      </c>
      <c r="B239" s="3" t="s">
        <v>1803</v>
      </c>
      <c r="C239" s="3" t="str">
        <f t="shared" ref="C239:C241" si="90">"坡子街街道"</f>
        <v>坡子街街道</v>
      </c>
      <c r="D239" s="3" t="str">
        <f t="shared" ref="D239:D243" si="91">"创远社区"</f>
        <v>创远社区</v>
      </c>
      <c r="E239" s="3" t="str">
        <f t="shared" si="74"/>
        <v>140</v>
      </c>
      <c r="F239" s="3" t="str">
        <f t="shared" si="88"/>
        <v>0</v>
      </c>
      <c r="G239" s="3" t="str">
        <f t="shared" si="89"/>
        <v>四级</v>
      </c>
    </row>
    <row r="240" customHeight="1" spans="1:7">
      <c r="A240" s="3" t="str">
        <f>"2639"</f>
        <v>2639</v>
      </c>
      <c r="B240" s="3" t="s">
        <v>796</v>
      </c>
      <c r="C240" s="3" t="str">
        <f t="shared" si="90"/>
        <v>坡子街街道</v>
      </c>
      <c r="D240" s="3" t="str">
        <f t="shared" si="91"/>
        <v>创远社区</v>
      </c>
      <c r="E240" s="3" t="str">
        <f t="shared" si="74"/>
        <v>140</v>
      </c>
      <c r="F240" s="3" t="str">
        <f t="shared" si="88"/>
        <v>0</v>
      </c>
      <c r="G240" s="3" t="str">
        <f t="shared" si="89"/>
        <v>四级</v>
      </c>
    </row>
    <row r="241" customHeight="1" spans="1:7">
      <c r="A241" s="3" t="str">
        <f>"2640"</f>
        <v>2640</v>
      </c>
      <c r="B241" s="3" t="s">
        <v>1804</v>
      </c>
      <c r="C241" s="3" t="str">
        <f t="shared" si="90"/>
        <v>坡子街街道</v>
      </c>
      <c r="D241" s="3" t="str">
        <f>"楚湘社区"</f>
        <v>楚湘社区</v>
      </c>
      <c r="E241" s="3" t="str">
        <f t="shared" si="74"/>
        <v>140</v>
      </c>
      <c r="F241" s="3" t="str">
        <f t="shared" si="88"/>
        <v>0</v>
      </c>
      <c r="G241" s="3" t="str">
        <f t="shared" ref="G241:G243" si="92">"三级"</f>
        <v>三级</v>
      </c>
    </row>
    <row r="242" customHeight="1" spans="1:7">
      <c r="A242" s="3" t="str">
        <f>"2641"</f>
        <v>2641</v>
      </c>
      <c r="B242" s="3" t="s">
        <v>125</v>
      </c>
      <c r="C242" s="3" t="str">
        <f>"赤岭路街道"</f>
        <v>赤岭路街道</v>
      </c>
      <c r="D242" s="3" t="str">
        <f>"白沙花园社区"</f>
        <v>白沙花园社区</v>
      </c>
      <c r="E242" s="3" t="str">
        <f t="shared" si="74"/>
        <v>140</v>
      </c>
      <c r="F242" s="3" t="str">
        <f t="shared" si="88"/>
        <v>0</v>
      </c>
      <c r="G242" s="3" t="str">
        <f t="shared" si="92"/>
        <v>三级</v>
      </c>
    </row>
    <row r="243" customHeight="1" spans="1:7">
      <c r="A243" s="3" t="str">
        <f>"2642"</f>
        <v>2642</v>
      </c>
      <c r="B243" s="3" t="s">
        <v>1805</v>
      </c>
      <c r="C243" s="3" t="str">
        <f t="shared" ref="C243:C247" si="93">"坡子街街道"</f>
        <v>坡子街街道</v>
      </c>
      <c r="D243" s="3" t="str">
        <f t="shared" si="91"/>
        <v>创远社区</v>
      </c>
      <c r="E243" s="3" t="str">
        <f t="shared" si="74"/>
        <v>140</v>
      </c>
      <c r="F243" s="3" t="str">
        <f t="shared" si="88"/>
        <v>0</v>
      </c>
      <c r="G243" s="3" t="str">
        <f t="shared" si="92"/>
        <v>三级</v>
      </c>
    </row>
    <row r="244" customHeight="1" spans="1:7">
      <c r="A244" s="3" t="str">
        <f>"2643"</f>
        <v>2643</v>
      </c>
      <c r="B244" s="3" t="s">
        <v>319</v>
      </c>
      <c r="C244" s="3" t="str">
        <f>"青园街道"</f>
        <v>青园街道</v>
      </c>
      <c r="D244" s="3" t="str">
        <f>"友谊社区"</f>
        <v>友谊社区</v>
      </c>
      <c r="E244" s="3" t="str">
        <f t="shared" si="74"/>
        <v>140</v>
      </c>
      <c r="F244" s="3" t="str">
        <f t="shared" ref="F244:F252" si="94">"100"</f>
        <v>100</v>
      </c>
      <c r="G244" s="3" t="str">
        <f>"一级"</f>
        <v>一级</v>
      </c>
    </row>
    <row r="245" customHeight="1" spans="1:7">
      <c r="A245" s="3" t="str">
        <f>"2644"</f>
        <v>2644</v>
      </c>
      <c r="B245" s="3" t="s">
        <v>926</v>
      </c>
      <c r="C245" s="3" t="str">
        <f>"赤岭路街道"</f>
        <v>赤岭路街道</v>
      </c>
      <c r="D245" s="3" t="str">
        <f>"南大桥社区"</f>
        <v>南大桥社区</v>
      </c>
      <c r="E245" s="3" t="str">
        <f t="shared" si="74"/>
        <v>140</v>
      </c>
      <c r="F245" s="3" t="str">
        <f t="shared" ref="F245:F248" si="95">"0"</f>
        <v>0</v>
      </c>
      <c r="G245" s="3" t="str">
        <f>"四级"</f>
        <v>四级</v>
      </c>
    </row>
    <row r="246" customHeight="1" spans="1:7">
      <c r="A246" s="3" t="str">
        <f>"2645"</f>
        <v>2645</v>
      </c>
      <c r="B246" s="3" t="s">
        <v>1806</v>
      </c>
      <c r="C246" s="3" t="str">
        <f t="shared" si="93"/>
        <v>坡子街街道</v>
      </c>
      <c r="D246" s="3" t="str">
        <f>"登仁桥社区"</f>
        <v>登仁桥社区</v>
      </c>
      <c r="E246" s="3" t="str">
        <f t="shared" si="74"/>
        <v>140</v>
      </c>
      <c r="F246" s="3" t="str">
        <f t="shared" si="94"/>
        <v>100</v>
      </c>
      <c r="G246" s="3" t="str">
        <f>"一级"</f>
        <v>一级</v>
      </c>
    </row>
    <row r="247" customHeight="1" spans="1:7">
      <c r="A247" s="3" t="str">
        <f>"2646"</f>
        <v>2646</v>
      </c>
      <c r="B247" s="3" t="s">
        <v>1807</v>
      </c>
      <c r="C247" s="3" t="str">
        <f t="shared" si="93"/>
        <v>坡子街街道</v>
      </c>
      <c r="D247" s="3" t="str">
        <f>"登仁桥社区"</f>
        <v>登仁桥社区</v>
      </c>
      <c r="E247" s="3" t="str">
        <f t="shared" si="74"/>
        <v>140</v>
      </c>
      <c r="F247" s="3" t="str">
        <f t="shared" si="95"/>
        <v>0</v>
      </c>
      <c r="G247" s="3" t="str">
        <f>"四级"</f>
        <v>四级</v>
      </c>
    </row>
    <row r="248" customHeight="1" spans="1:7">
      <c r="A248" s="3" t="str">
        <f>"2647"</f>
        <v>2647</v>
      </c>
      <c r="B248" s="3" t="s">
        <v>1808</v>
      </c>
      <c r="C248" s="3" t="str">
        <f>"大托铺街道"</f>
        <v>大托铺街道</v>
      </c>
      <c r="D248" s="3" t="str">
        <f>"黄合村委会"</f>
        <v>黄合村委会</v>
      </c>
      <c r="E248" s="3" t="str">
        <f t="shared" si="74"/>
        <v>140</v>
      </c>
      <c r="F248" s="3" t="str">
        <f t="shared" si="95"/>
        <v>0</v>
      </c>
      <c r="G248" s="3" t="str">
        <f>"三级"</f>
        <v>三级</v>
      </c>
    </row>
    <row r="249" customHeight="1" spans="1:7">
      <c r="A249" s="3" t="str">
        <f>"2648"</f>
        <v>2648</v>
      </c>
      <c r="B249" s="3" t="s">
        <v>72</v>
      </c>
      <c r="C249" s="3" t="str">
        <f>"青园街道"</f>
        <v>青园街道</v>
      </c>
      <c r="D249" s="3" t="str">
        <f>"青园社区"</f>
        <v>青园社区</v>
      </c>
      <c r="E249" s="3" t="str">
        <f t="shared" si="74"/>
        <v>140</v>
      </c>
      <c r="F249" s="3" t="str">
        <f t="shared" si="94"/>
        <v>100</v>
      </c>
      <c r="G249" s="3" t="str">
        <f t="shared" ref="G249:G251" si="96">"二级"</f>
        <v>二级</v>
      </c>
    </row>
    <row r="250" customHeight="1" spans="1:7">
      <c r="A250" s="3" t="str">
        <f>"2649"</f>
        <v>2649</v>
      </c>
      <c r="B250" s="3" t="s">
        <v>1809</v>
      </c>
      <c r="C250" s="3" t="str">
        <f t="shared" ref="C250:C252" si="97">"裕南街街道"</f>
        <v>裕南街街道</v>
      </c>
      <c r="D250" s="3" t="str">
        <f>"宝塔山社区"</f>
        <v>宝塔山社区</v>
      </c>
      <c r="E250" s="3" t="str">
        <f t="shared" si="74"/>
        <v>140</v>
      </c>
      <c r="F250" s="3" t="str">
        <f t="shared" si="94"/>
        <v>100</v>
      </c>
      <c r="G250" s="3" t="str">
        <f t="shared" si="96"/>
        <v>二级</v>
      </c>
    </row>
    <row r="251" customHeight="1" spans="1:7">
      <c r="A251" s="3" t="str">
        <f>"2650"</f>
        <v>2650</v>
      </c>
      <c r="B251" s="3" t="s">
        <v>1810</v>
      </c>
      <c r="C251" s="3" t="str">
        <f t="shared" si="97"/>
        <v>裕南街街道</v>
      </c>
      <c r="D251" s="3" t="str">
        <f>"东瓜山社区"</f>
        <v>东瓜山社区</v>
      </c>
      <c r="E251" s="3" t="str">
        <f t="shared" si="74"/>
        <v>140</v>
      </c>
      <c r="F251" s="3" t="str">
        <f t="shared" si="94"/>
        <v>100</v>
      </c>
      <c r="G251" s="3" t="str">
        <f t="shared" si="96"/>
        <v>二级</v>
      </c>
    </row>
    <row r="252" customHeight="1" spans="1:7">
      <c r="A252" s="3" t="str">
        <f>"2651"</f>
        <v>2651</v>
      </c>
      <c r="B252" s="3" t="s">
        <v>1035</v>
      </c>
      <c r="C252" s="3" t="str">
        <f t="shared" si="97"/>
        <v>裕南街街道</v>
      </c>
      <c r="D252" s="3" t="str">
        <f>"东瓜山社区"</f>
        <v>东瓜山社区</v>
      </c>
      <c r="E252" s="3" t="str">
        <f t="shared" si="74"/>
        <v>140</v>
      </c>
      <c r="F252" s="3" t="str">
        <f t="shared" si="94"/>
        <v>100</v>
      </c>
      <c r="G252" s="3" t="str">
        <f>"一级"</f>
        <v>一级</v>
      </c>
    </row>
    <row r="253" customHeight="1" spans="1:7">
      <c r="A253" s="3" t="str">
        <f>"2652"</f>
        <v>2652</v>
      </c>
      <c r="B253" s="3" t="s">
        <v>1811</v>
      </c>
      <c r="C253" s="3" t="str">
        <f>"坡子街街道"</f>
        <v>坡子街街道</v>
      </c>
      <c r="D253" s="3" t="str">
        <f>"碧湘社区"</f>
        <v>碧湘社区</v>
      </c>
      <c r="E253" s="3" t="str">
        <f t="shared" si="74"/>
        <v>140</v>
      </c>
      <c r="F253" s="3" t="str">
        <f>"0"</f>
        <v>0</v>
      </c>
      <c r="G253" s="3" t="str">
        <f>"四级"</f>
        <v>四级</v>
      </c>
    </row>
    <row r="254" customHeight="1" spans="1:7">
      <c r="A254" s="3" t="str">
        <f>"2653"</f>
        <v>2653</v>
      </c>
      <c r="B254" s="3" t="s">
        <v>1812</v>
      </c>
      <c r="C254" s="3" t="str">
        <f>"黑石铺街道"</f>
        <v>黑石铺街道</v>
      </c>
      <c r="D254" s="3" t="str">
        <f>"铭安社区"</f>
        <v>铭安社区</v>
      </c>
      <c r="E254" s="3" t="str">
        <f t="shared" si="74"/>
        <v>140</v>
      </c>
      <c r="F254" s="3" t="str">
        <f t="shared" ref="F254:F261" si="98">"100"</f>
        <v>100</v>
      </c>
      <c r="G254" s="3" t="str">
        <f t="shared" ref="G254:G259" si="99">"二级"</f>
        <v>二级</v>
      </c>
    </row>
    <row r="255" customHeight="1" spans="1:7">
      <c r="A255" s="3" t="str">
        <f>"2654"</f>
        <v>2654</v>
      </c>
      <c r="B255" s="3" t="s">
        <v>1813</v>
      </c>
      <c r="C255" s="3" t="str">
        <f>"坡子街街道"</f>
        <v>坡子街街道</v>
      </c>
      <c r="D255" s="3" t="str">
        <f>"西牌楼社区"</f>
        <v>西牌楼社区</v>
      </c>
      <c r="E255" s="3" t="str">
        <f t="shared" si="74"/>
        <v>140</v>
      </c>
      <c r="F255" s="3" t="str">
        <f t="shared" si="98"/>
        <v>100</v>
      </c>
      <c r="G255" s="3" t="str">
        <f t="shared" si="99"/>
        <v>二级</v>
      </c>
    </row>
    <row r="256" customHeight="1" spans="1:7">
      <c r="A256" s="3" t="str">
        <f>"2655"</f>
        <v>2655</v>
      </c>
      <c r="B256" s="3" t="s">
        <v>1814</v>
      </c>
      <c r="C256" s="3" t="str">
        <f>"裕南街街道"</f>
        <v>裕南街街道</v>
      </c>
      <c r="D256" s="3" t="str">
        <f>"裕南街社区"</f>
        <v>裕南街社区</v>
      </c>
      <c r="E256" s="3" t="str">
        <f t="shared" si="74"/>
        <v>140</v>
      </c>
      <c r="F256" s="3" t="str">
        <f t="shared" si="98"/>
        <v>100</v>
      </c>
      <c r="G256" s="3" t="str">
        <f t="shared" si="99"/>
        <v>二级</v>
      </c>
    </row>
    <row r="257" customHeight="1" spans="1:7">
      <c r="A257" s="3" t="str">
        <f>"2656"</f>
        <v>2656</v>
      </c>
      <c r="B257" s="3" t="s">
        <v>1815</v>
      </c>
      <c r="C257" s="3" t="str">
        <f>"大托铺街道"</f>
        <v>大托铺街道</v>
      </c>
      <c r="D257" s="3" t="str">
        <f>"兴隆村委会"</f>
        <v>兴隆村委会</v>
      </c>
      <c r="E257" s="3" t="str">
        <f t="shared" si="74"/>
        <v>140</v>
      </c>
      <c r="F257" s="3" t="str">
        <f t="shared" si="98"/>
        <v>100</v>
      </c>
      <c r="G257" s="3" t="str">
        <f t="shared" si="99"/>
        <v>二级</v>
      </c>
    </row>
    <row r="258" customHeight="1" spans="1:7">
      <c r="A258" s="3" t="str">
        <f>"2657"</f>
        <v>2657</v>
      </c>
      <c r="B258" s="3" t="s">
        <v>1816</v>
      </c>
      <c r="C258" s="3" t="str">
        <f>"文源街道"</f>
        <v>文源街道</v>
      </c>
      <c r="D258" s="3" t="str">
        <f>"金汇社区"</f>
        <v>金汇社区</v>
      </c>
      <c r="E258" s="3" t="str">
        <f t="shared" ref="E258:E321" si="100">"140"</f>
        <v>140</v>
      </c>
      <c r="F258" s="3" t="str">
        <f t="shared" si="98"/>
        <v>100</v>
      </c>
      <c r="G258" s="3" t="str">
        <f t="shared" si="99"/>
        <v>二级</v>
      </c>
    </row>
    <row r="259" customHeight="1" spans="1:7">
      <c r="A259" s="3" t="str">
        <f>"2658"</f>
        <v>2658</v>
      </c>
      <c r="B259" s="3" t="s">
        <v>41</v>
      </c>
      <c r="C259" s="3" t="str">
        <f>"文源街道"</f>
        <v>文源街道</v>
      </c>
      <c r="D259" s="3" t="str">
        <f>"金汇社区"</f>
        <v>金汇社区</v>
      </c>
      <c r="E259" s="3" t="str">
        <f t="shared" si="100"/>
        <v>140</v>
      </c>
      <c r="F259" s="3" t="str">
        <f t="shared" si="98"/>
        <v>100</v>
      </c>
      <c r="G259" s="3" t="str">
        <f t="shared" si="99"/>
        <v>二级</v>
      </c>
    </row>
    <row r="260" customHeight="1" spans="1:7">
      <c r="A260" s="3" t="str">
        <f>"2659"</f>
        <v>2659</v>
      </c>
      <c r="B260" s="3" t="s">
        <v>1817</v>
      </c>
      <c r="C260" s="3" t="str">
        <f>"青园街道"</f>
        <v>青园街道</v>
      </c>
      <c r="D260" s="3" t="str">
        <f>"友谊社区"</f>
        <v>友谊社区</v>
      </c>
      <c r="E260" s="3" t="str">
        <f t="shared" si="100"/>
        <v>140</v>
      </c>
      <c r="F260" s="3" t="str">
        <f t="shared" si="98"/>
        <v>100</v>
      </c>
      <c r="G260" s="3" t="str">
        <f>"一级"</f>
        <v>一级</v>
      </c>
    </row>
    <row r="261" customHeight="1" spans="1:7">
      <c r="A261" s="3" t="str">
        <f>"2660"</f>
        <v>2660</v>
      </c>
      <c r="B261" s="3" t="s">
        <v>1818</v>
      </c>
      <c r="C261" s="3" t="str">
        <f>"暮云街道"</f>
        <v>暮云街道</v>
      </c>
      <c r="D261" s="3" t="str">
        <f>"许兴村"</f>
        <v>许兴村</v>
      </c>
      <c r="E261" s="3" t="str">
        <f t="shared" si="100"/>
        <v>140</v>
      </c>
      <c r="F261" s="3" t="str">
        <f t="shared" si="98"/>
        <v>100</v>
      </c>
      <c r="G261" s="3" t="str">
        <f t="shared" ref="G261:G264" si="101">"二级"</f>
        <v>二级</v>
      </c>
    </row>
    <row r="262" customHeight="1" spans="1:7">
      <c r="A262" s="3" t="str">
        <f>"2661"</f>
        <v>2661</v>
      </c>
      <c r="B262" s="3" t="s">
        <v>132</v>
      </c>
      <c r="C262" s="3" t="str">
        <f>"暮云街道"</f>
        <v>暮云街道</v>
      </c>
      <c r="D262" s="3" t="str">
        <f>"许兴村"</f>
        <v>许兴村</v>
      </c>
      <c r="E262" s="3" t="str">
        <f t="shared" si="100"/>
        <v>140</v>
      </c>
      <c r="F262" s="3" t="str">
        <f>"0"</f>
        <v>0</v>
      </c>
      <c r="G262" s="3" t="str">
        <f>"四级"</f>
        <v>四级</v>
      </c>
    </row>
    <row r="263" customHeight="1" spans="1:7">
      <c r="A263" s="3" t="str">
        <f>"2662"</f>
        <v>2662</v>
      </c>
      <c r="B263" s="3" t="s">
        <v>1819</v>
      </c>
      <c r="C263" s="3" t="str">
        <f>"新开铺街道"</f>
        <v>新开铺街道</v>
      </c>
      <c r="D263" s="3" t="str">
        <f>"新开铺社区"</f>
        <v>新开铺社区</v>
      </c>
      <c r="E263" s="3" t="str">
        <f t="shared" si="100"/>
        <v>140</v>
      </c>
      <c r="F263" s="3" t="str">
        <f t="shared" ref="F263:F282" si="102">"100"</f>
        <v>100</v>
      </c>
      <c r="G263" s="3" t="str">
        <f t="shared" si="101"/>
        <v>二级</v>
      </c>
    </row>
    <row r="264" customHeight="1" spans="1:7">
      <c r="A264" s="3" t="str">
        <f>"2663"</f>
        <v>2663</v>
      </c>
      <c r="B264" s="3" t="s">
        <v>1820</v>
      </c>
      <c r="C264" s="3" t="str">
        <f>"金盆岭街道"</f>
        <v>金盆岭街道</v>
      </c>
      <c r="D264" s="3" t="str">
        <f>"天剑社区"</f>
        <v>天剑社区</v>
      </c>
      <c r="E264" s="3" t="str">
        <f t="shared" si="100"/>
        <v>140</v>
      </c>
      <c r="F264" s="3" t="str">
        <f t="shared" si="102"/>
        <v>100</v>
      </c>
      <c r="G264" s="3" t="str">
        <f t="shared" si="101"/>
        <v>二级</v>
      </c>
    </row>
    <row r="265" customHeight="1" spans="1:7">
      <c r="A265" s="3" t="str">
        <f>"2664"</f>
        <v>2664</v>
      </c>
      <c r="B265" s="3" t="s">
        <v>1357</v>
      </c>
      <c r="C265" s="3" t="str">
        <f>"坡子街街道"</f>
        <v>坡子街街道</v>
      </c>
      <c r="D265" s="3" t="str">
        <f>"青山祠社区"</f>
        <v>青山祠社区</v>
      </c>
      <c r="E265" s="3" t="str">
        <f t="shared" si="100"/>
        <v>140</v>
      </c>
      <c r="F265" s="3" t="str">
        <f t="shared" si="102"/>
        <v>100</v>
      </c>
      <c r="G265" s="3" t="str">
        <f>"一级"</f>
        <v>一级</v>
      </c>
    </row>
    <row r="266" customHeight="1" spans="1:7">
      <c r="A266" s="3" t="str">
        <f>"2665"</f>
        <v>2665</v>
      </c>
      <c r="B266" s="3" t="s">
        <v>1821</v>
      </c>
      <c r="C266" s="3" t="str">
        <f>"青园街道"</f>
        <v>青园街道</v>
      </c>
      <c r="D266" s="3" t="str">
        <f>"青园社区"</f>
        <v>青园社区</v>
      </c>
      <c r="E266" s="3" t="str">
        <f t="shared" si="100"/>
        <v>140</v>
      </c>
      <c r="F266" s="3" t="str">
        <f t="shared" si="102"/>
        <v>100</v>
      </c>
      <c r="G266" s="3" t="str">
        <f t="shared" ref="G266:G268" si="103">"二级"</f>
        <v>二级</v>
      </c>
    </row>
    <row r="267" customHeight="1" spans="1:7">
      <c r="A267" s="3" t="str">
        <f>"2666"</f>
        <v>2666</v>
      </c>
      <c r="B267" s="3" t="s">
        <v>1553</v>
      </c>
      <c r="C267" s="3" t="str">
        <f>"青园街道"</f>
        <v>青园街道</v>
      </c>
      <c r="D267" s="3" t="str">
        <f>"青园社区"</f>
        <v>青园社区</v>
      </c>
      <c r="E267" s="3" t="str">
        <f t="shared" si="100"/>
        <v>140</v>
      </c>
      <c r="F267" s="3" t="str">
        <f t="shared" si="102"/>
        <v>100</v>
      </c>
      <c r="G267" s="3" t="str">
        <f t="shared" si="103"/>
        <v>二级</v>
      </c>
    </row>
    <row r="268" customHeight="1" spans="1:7">
      <c r="A268" s="3" t="str">
        <f>"2667"</f>
        <v>2667</v>
      </c>
      <c r="B268" s="3" t="s">
        <v>1789</v>
      </c>
      <c r="C268" s="3" t="str">
        <f>"暮云街道"</f>
        <v>暮云街道</v>
      </c>
      <c r="D268" s="3" t="str">
        <f>"暮云社区"</f>
        <v>暮云社区</v>
      </c>
      <c r="E268" s="3" t="str">
        <f t="shared" si="100"/>
        <v>140</v>
      </c>
      <c r="F268" s="3" t="str">
        <f t="shared" si="102"/>
        <v>100</v>
      </c>
      <c r="G268" s="3" t="str">
        <f t="shared" si="103"/>
        <v>二级</v>
      </c>
    </row>
    <row r="269" customHeight="1" spans="1:7">
      <c r="A269" s="3" t="str">
        <f>"2668"</f>
        <v>2668</v>
      </c>
      <c r="B269" s="3" t="s">
        <v>1822</v>
      </c>
      <c r="C269" s="3" t="str">
        <f>"裕南街街道"</f>
        <v>裕南街街道</v>
      </c>
      <c r="D269" s="3" t="str">
        <f>"宝塔山社区"</f>
        <v>宝塔山社区</v>
      </c>
      <c r="E269" s="3" t="str">
        <f t="shared" si="100"/>
        <v>140</v>
      </c>
      <c r="F269" s="3" t="str">
        <f t="shared" si="102"/>
        <v>100</v>
      </c>
      <c r="G269" s="3" t="str">
        <f>"一级"</f>
        <v>一级</v>
      </c>
    </row>
    <row r="270" customHeight="1" spans="1:7">
      <c r="A270" s="3" t="str">
        <f>"2669"</f>
        <v>2669</v>
      </c>
      <c r="B270" s="3" t="s">
        <v>1823</v>
      </c>
      <c r="C270" s="3" t="str">
        <f>"新开铺街道"</f>
        <v>新开铺街道</v>
      </c>
      <c r="D270" s="3" t="str">
        <f>"新开铺社区"</f>
        <v>新开铺社区</v>
      </c>
      <c r="E270" s="3" t="str">
        <f t="shared" si="100"/>
        <v>140</v>
      </c>
      <c r="F270" s="3" t="str">
        <f t="shared" si="102"/>
        <v>100</v>
      </c>
      <c r="G270" s="3" t="str">
        <f t="shared" ref="G270:G282" si="104">"二级"</f>
        <v>二级</v>
      </c>
    </row>
    <row r="271" customHeight="1" spans="1:7">
      <c r="A271" s="3" t="str">
        <f>"2670"</f>
        <v>2670</v>
      </c>
      <c r="B271" s="3" t="s">
        <v>1824</v>
      </c>
      <c r="C271" s="3" t="str">
        <f>"城南路街道"</f>
        <v>城南路街道</v>
      </c>
      <c r="D271" s="3" t="str">
        <f>"熙台岭社区"</f>
        <v>熙台岭社区</v>
      </c>
      <c r="E271" s="3" t="str">
        <f t="shared" si="100"/>
        <v>140</v>
      </c>
      <c r="F271" s="3" t="str">
        <f t="shared" si="102"/>
        <v>100</v>
      </c>
      <c r="G271" s="3" t="str">
        <f t="shared" si="104"/>
        <v>二级</v>
      </c>
    </row>
    <row r="272" customHeight="1" spans="1:7">
      <c r="A272" s="3" t="str">
        <f>"2671"</f>
        <v>2671</v>
      </c>
      <c r="B272" s="3" t="s">
        <v>1825</v>
      </c>
      <c r="C272" s="3" t="str">
        <f>"先锋街道"</f>
        <v>先锋街道</v>
      </c>
      <c r="D272" s="3" t="str">
        <f>"尚双塘社区"</f>
        <v>尚双塘社区</v>
      </c>
      <c r="E272" s="3" t="str">
        <f t="shared" si="100"/>
        <v>140</v>
      </c>
      <c r="F272" s="3" t="str">
        <f t="shared" si="102"/>
        <v>100</v>
      </c>
      <c r="G272" s="3" t="str">
        <f>"一级"</f>
        <v>一级</v>
      </c>
    </row>
    <row r="273" customHeight="1" spans="1:7">
      <c r="A273" s="3" t="str">
        <f>"2672"</f>
        <v>2672</v>
      </c>
      <c r="B273" s="3" t="s">
        <v>32</v>
      </c>
      <c r="C273" s="3" t="str">
        <f t="shared" ref="C273:C278" si="105">"坡子街街道"</f>
        <v>坡子街街道</v>
      </c>
      <c r="D273" s="3" t="str">
        <f>"八角亭社区"</f>
        <v>八角亭社区</v>
      </c>
      <c r="E273" s="3" t="str">
        <f t="shared" si="100"/>
        <v>140</v>
      </c>
      <c r="F273" s="3" t="str">
        <f t="shared" si="102"/>
        <v>100</v>
      </c>
      <c r="G273" s="3" t="str">
        <f t="shared" si="104"/>
        <v>二级</v>
      </c>
    </row>
    <row r="274" customHeight="1" spans="1:7">
      <c r="A274" s="3" t="str">
        <f>"2673"</f>
        <v>2673</v>
      </c>
      <c r="B274" s="3" t="s">
        <v>32</v>
      </c>
      <c r="C274" s="3" t="str">
        <f t="shared" si="105"/>
        <v>坡子街街道</v>
      </c>
      <c r="D274" s="3" t="str">
        <f>"八角亭社区"</f>
        <v>八角亭社区</v>
      </c>
      <c r="E274" s="3" t="str">
        <f t="shared" si="100"/>
        <v>140</v>
      </c>
      <c r="F274" s="3" t="str">
        <f t="shared" si="102"/>
        <v>100</v>
      </c>
      <c r="G274" s="3" t="str">
        <f t="shared" si="104"/>
        <v>二级</v>
      </c>
    </row>
    <row r="275" customHeight="1" spans="1:7">
      <c r="A275" s="3" t="str">
        <f>"2674"</f>
        <v>2674</v>
      </c>
      <c r="B275" s="3" t="s">
        <v>1826</v>
      </c>
      <c r="C275" s="3" t="str">
        <f>"青园街道"</f>
        <v>青园街道</v>
      </c>
      <c r="D275" s="3" t="str">
        <f>"井湾子社区"</f>
        <v>井湾子社区</v>
      </c>
      <c r="E275" s="3" t="str">
        <f t="shared" si="100"/>
        <v>140</v>
      </c>
      <c r="F275" s="3" t="str">
        <f t="shared" si="102"/>
        <v>100</v>
      </c>
      <c r="G275" s="3" t="str">
        <f t="shared" si="104"/>
        <v>二级</v>
      </c>
    </row>
    <row r="276" customHeight="1" spans="1:7">
      <c r="A276" s="3" t="str">
        <f>"2675"</f>
        <v>2675</v>
      </c>
      <c r="B276" s="3" t="s">
        <v>1827</v>
      </c>
      <c r="C276" s="3" t="str">
        <f>"大托铺街道"</f>
        <v>大托铺街道</v>
      </c>
      <c r="D276" s="3" t="str">
        <f>"桂井村委会"</f>
        <v>桂井村委会</v>
      </c>
      <c r="E276" s="3" t="str">
        <f t="shared" si="100"/>
        <v>140</v>
      </c>
      <c r="F276" s="3" t="str">
        <f t="shared" si="102"/>
        <v>100</v>
      </c>
      <c r="G276" s="3" t="str">
        <f t="shared" si="104"/>
        <v>二级</v>
      </c>
    </row>
    <row r="277" customHeight="1" spans="1:7">
      <c r="A277" s="3" t="str">
        <f>"2676"</f>
        <v>2676</v>
      </c>
      <c r="B277" s="3" t="s">
        <v>1828</v>
      </c>
      <c r="C277" s="3" t="str">
        <f>"大托铺街道"</f>
        <v>大托铺街道</v>
      </c>
      <c r="D277" s="3" t="str">
        <f>"桂井村委会"</f>
        <v>桂井村委会</v>
      </c>
      <c r="E277" s="3" t="str">
        <f t="shared" si="100"/>
        <v>140</v>
      </c>
      <c r="F277" s="3" t="str">
        <f t="shared" si="102"/>
        <v>100</v>
      </c>
      <c r="G277" s="3" t="str">
        <f t="shared" si="104"/>
        <v>二级</v>
      </c>
    </row>
    <row r="278" customHeight="1" spans="1:7">
      <c r="A278" s="3" t="str">
        <f>"2677"</f>
        <v>2677</v>
      </c>
      <c r="B278" s="3" t="s">
        <v>267</v>
      </c>
      <c r="C278" s="3" t="str">
        <f t="shared" si="105"/>
        <v>坡子街街道</v>
      </c>
      <c r="D278" s="3" t="str">
        <f>"太平街社区"</f>
        <v>太平街社区</v>
      </c>
      <c r="E278" s="3" t="str">
        <f t="shared" si="100"/>
        <v>140</v>
      </c>
      <c r="F278" s="3" t="str">
        <f t="shared" si="102"/>
        <v>100</v>
      </c>
      <c r="G278" s="3" t="str">
        <f t="shared" si="104"/>
        <v>二级</v>
      </c>
    </row>
    <row r="279" customHeight="1" spans="1:7">
      <c r="A279" s="3" t="str">
        <f>"2678"</f>
        <v>2678</v>
      </c>
      <c r="B279" s="3" t="s">
        <v>1829</v>
      </c>
      <c r="C279" s="3" t="str">
        <f>"文源街道"</f>
        <v>文源街道</v>
      </c>
      <c r="D279" s="3" t="str">
        <f>"文源社区"</f>
        <v>文源社区</v>
      </c>
      <c r="E279" s="3" t="str">
        <f t="shared" si="100"/>
        <v>140</v>
      </c>
      <c r="F279" s="3" t="str">
        <f t="shared" si="102"/>
        <v>100</v>
      </c>
      <c r="G279" s="3" t="str">
        <f t="shared" si="104"/>
        <v>二级</v>
      </c>
    </row>
    <row r="280" customHeight="1" spans="1:7">
      <c r="A280" s="3" t="str">
        <f>"2679"</f>
        <v>2679</v>
      </c>
      <c r="B280" s="3" t="s">
        <v>1830</v>
      </c>
      <c r="C280" s="3" t="str">
        <f>"城南路街道"</f>
        <v>城南路街道</v>
      </c>
      <c r="D280" s="3" t="str">
        <f>"天心阁社区"</f>
        <v>天心阁社区</v>
      </c>
      <c r="E280" s="3" t="str">
        <f t="shared" si="100"/>
        <v>140</v>
      </c>
      <c r="F280" s="3" t="str">
        <f t="shared" si="102"/>
        <v>100</v>
      </c>
      <c r="G280" s="3" t="str">
        <f t="shared" si="104"/>
        <v>二级</v>
      </c>
    </row>
    <row r="281" customHeight="1" spans="1:7">
      <c r="A281" s="3" t="str">
        <f>"2680"</f>
        <v>2680</v>
      </c>
      <c r="B281" s="3" t="s">
        <v>1831</v>
      </c>
      <c r="C281" s="3" t="str">
        <f>"南托街道"</f>
        <v>南托街道</v>
      </c>
      <c r="D281" s="3" t="str">
        <f>"沿江村"</f>
        <v>沿江村</v>
      </c>
      <c r="E281" s="3" t="str">
        <f t="shared" si="100"/>
        <v>140</v>
      </c>
      <c r="F281" s="3" t="str">
        <f t="shared" si="102"/>
        <v>100</v>
      </c>
      <c r="G281" s="3" t="str">
        <f t="shared" si="104"/>
        <v>二级</v>
      </c>
    </row>
    <row r="282" customHeight="1" spans="1:7">
      <c r="A282" s="3" t="str">
        <f>"2681"</f>
        <v>2681</v>
      </c>
      <c r="B282" s="3" t="s">
        <v>1832</v>
      </c>
      <c r="C282" s="3" t="str">
        <f>"南托街道"</f>
        <v>南托街道</v>
      </c>
      <c r="D282" s="3" t="str">
        <f>"牛角塘村"</f>
        <v>牛角塘村</v>
      </c>
      <c r="E282" s="3" t="str">
        <f t="shared" si="100"/>
        <v>140</v>
      </c>
      <c r="F282" s="3" t="str">
        <f t="shared" si="102"/>
        <v>100</v>
      </c>
      <c r="G282" s="3" t="str">
        <f t="shared" si="104"/>
        <v>二级</v>
      </c>
    </row>
    <row r="283" customHeight="1" spans="1:7">
      <c r="A283" s="3" t="str">
        <f>"2682"</f>
        <v>2682</v>
      </c>
      <c r="B283" s="3" t="s">
        <v>146</v>
      </c>
      <c r="C283" s="3" t="str">
        <f>"坡子街街道"</f>
        <v>坡子街街道</v>
      </c>
      <c r="D283" s="3" t="str">
        <f>"碧湘社区"</f>
        <v>碧湘社区</v>
      </c>
      <c r="E283" s="3" t="str">
        <f t="shared" si="100"/>
        <v>140</v>
      </c>
      <c r="F283" s="3" t="str">
        <f>"0"</f>
        <v>0</v>
      </c>
      <c r="G283" s="3" t="str">
        <f>"四级"</f>
        <v>四级</v>
      </c>
    </row>
    <row r="284" customHeight="1" spans="1:7">
      <c r="A284" s="3" t="str">
        <f>"2683"</f>
        <v>2683</v>
      </c>
      <c r="B284" s="3" t="s">
        <v>1833</v>
      </c>
      <c r="C284" s="3" t="str">
        <f>"裕南街街道"</f>
        <v>裕南街街道</v>
      </c>
      <c r="D284" s="3" t="str">
        <f>"石子冲社区"</f>
        <v>石子冲社区</v>
      </c>
      <c r="E284" s="3" t="str">
        <f t="shared" si="100"/>
        <v>140</v>
      </c>
      <c r="F284" s="3" t="str">
        <f t="shared" ref="F284:F291" si="106">"100"</f>
        <v>100</v>
      </c>
      <c r="G284" s="3" t="str">
        <f t="shared" ref="G284:G289" si="107">"二级"</f>
        <v>二级</v>
      </c>
    </row>
    <row r="285" customHeight="1" spans="1:7">
      <c r="A285" s="3" t="str">
        <f>"2684"</f>
        <v>2684</v>
      </c>
      <c r="B285" s="3" t="s">
        <v>1834</v>
      </c>
      <c r="C285" s="3" t="str">
        <f>"桂花坪街道"</f>
        <v>桂花坪街道</v>
      </c>
      <c r="D285" s="3" t="str">
        <f>"新园社区"</f>
        <v>新园社区</v>
      </c>
      <c r="E285" s="3" t="str">
        <f t="shared" si="100"/>
        <v>140</v>
      </c>
      <c r="F285" s="3" t="str">
        <f t="shared" si="106"/>
        <v>100</v>
      </c>
      <c r="G285" s="3" t="str">
        <f t="shared" ref="G285:G290" si="108">"一级"</f>
        <v>一级</v>
      </c>
    </row>
    <row r="286" customHeight="1" spans="1:7">
      <c r="A286" s="3" t="str">
        <f>"2685"</f>
        <v>2685</v>
      </c>
      <c r="B286" s="3" t="s">
        <v>1835</v>
      </c>
      <c r="C286" s="3" t="str">
        <f>"暮云街道"</f>
        <v>暮云街道</v>
      </c>
      <c r="D286" s="3" t="str">
        <f>"高云社区"</f>
        <v>高云社区</v>
      </c>
      <c r="E286" s="3" t="str">
        <f t="shared" si="100"/>
        <v>140</v>
      </c>
      <c r="F286" s="3" t="str">
        <f t="shared" si="106"/>
        <v>100</v>
      </c>
      <c r="G286" s="3" t="str">
        <f t="shared" si="108"/>
        <v>一级</v>
      </c>
    </row>
    <row r="287" customHeight="1" spans="1:7">
      <c r="A287" s="3" t="str">
        <f>"2686"</f>
        <v>2686</v>
      </c>
      <c r="B287" s="3" t="s">
        <v>176</v>
      </c>
      <c r="C287" s="3" t="str">
        <f>"黑石铺街道"</f>
        <v>黑石铺街道</v>
      </c>
      <c r="D287" s="3" t="str">
        <f>"铭安社区"</f>
        <v>铭安社区</v>
      </c>
      <c r="E287" s="3" t="str">
        <f t="shared" si="100"/>
        <v>140</v>
      </c>
      <c r="F287" s="3" t="str">
        <f t="shared" si="106"/>
        <v>100</v>
      </c>
      <c r="G287" s="3" t="str">
        <f t="shared" si="107"/>
        <v>二级</v>
      </c>
    </row>
    <row r="288" customHeight="1" spans="1:7">
      <c r="A288" s="3" t="str">
        <f>"2687"</f>
        <v>2687</v>
      </c>
      <c r="B288" s="3" t="s">
        <v>1836</v>
      </c>
      <c r="C288" s="3" t="str">
        <f>"文源街道"</f>
        <v>文源街道</v>
      </c>
      <c r="D288" s="3" t="str">
        <f>"金汇社区"</f>
        <v>金汇社区</v>
      </c>
      <c r="E288" s="3" t="str">
        <f t="shared" si="100"/>
        <v>140</v>
      </c>
      <c r="F288" s="3" t="str">
        <f t="shared" si="106"/>
        <v>100</v>
      </c>
      <c r="G288" s="3" t="str">
        <f t="shared" si="107"/>
        <v>二级</v>
      </c>
    </row>
    <row r="289" customHeight="1" spans="1:7">
      <c r="A289" s="3" t="str">
        <f>"2688"</f>
        <v>2688</v>
      </c>
      <c r="B289" s="3" t="s">
        <v>1837</v>
      </c>
      <c r="C289" s="3" t="str">
        <f>"裕南街街道"</f>
        <v>裕南街街道</v>
      </c>
      <c r="D289" s="3" t="str">
        <f>"东瓜山社区"</f>
        <v>东瓜山社区</v>
      </c>
      <c r="E289" s="3" t="str">
        <f t="shared" si="100"/>
        <v>140</v>
      </c>
      <c r="F289" s="3" t="str">
        <f t="shared" si="106"/>
        <v>100</v>
      </c>
      <c r="G289" s="3" t="str">
        <f t="shared" si="107"/>
        <v>二级</v>
      </c>
    </row>
    <row r="290" customHeight="1" spans="1:7">
      <c r="A290" s="3" t="str">
        <f>"2689"</f>
        <v>2689</v>
      </c>
      <c r="B290" s="3" t="s">
        <v>1838</v>
      </c>
      <c r="C290" s="3" t="str">
        <f>"大托铺街道"</f>
        <v>大托铺街道</v>
      </c>
      <c r="D290" s="3" t="str">
        <f>"桂井村委会"</f>
        <v>桂井村委会</v>
      </c>
      <c r="E290" s="3" t="str">
        <f t="shared" si="100"/>
        <v>140</v>
      </c>
      <c r="F290" s="3" t="str">
        <f t="shared" si="106"/>
        <v>100</v>
      </c>
      <c r="G290" s="3" t="str">
        <f t="shared" si="108"/>
        <v>一级</v>
      </c>
    </row>
    <row r="291" customHeight="1" spans="1:7">
      <c r="A291" s="3" t="str">
        <f>"2690"</f>
        <v>2690</v>
      </c>
      <c r="B291" s="3" t="s">
        <v>139</v>
      </c>
      <c r="C291" s="3" t="str">
        <f>"城南路街道"</f>
        <v>城南路街道</v>
      </c>
      <c r="D291" s="3" t="str">
        <f>"白沙井社区"</f>
        <v>白沙井社区</v>
      </c>
      <c r="E291" s="3" t="str">
        <f t="shared" si="100"/>
        <v>140</v>
      </c>
      <c r="F291" s="3" t="str">
        <f t="shared" si="106"/>
        <v>100</v>
      </c>
      <c r="G291" s="3" t="str">
        <f t="shared" ref="G291:G294" si="109">"二级"</f>
        <v>二级</v>
      </c>
    </row>
    <row r="292" customHeight="1" spans="1:7">
      <c r="A292" s="3" t="str">
        <f>"2691"</f>
        <v>2691</v>
      </c>
      <c r="B292" s="3" t="s">
        <v>1839</v>
      </c>
      <c r="C292" s="3" t="str">
        <f>"南托街道"</f>
        <v>南托街道</v>
      </c>
      <c r="D292" s="3" t="str">
        <f>"牛角塘村"</f>
        <v>牛角塘村</v>
      </c>
      <c r="E292" s="3" t="str">
        <f t="shared" si="100"/>
        <v>140</v>
      </c>
      <c r="F292" s="3" t="str">
        <f t="shared" ref="F292:F296" si="110">"0"</f>
        <v>0</v>
      </c>
      <c r="G292" s="3" t="str">
        <f>"四级"</f>
        <v>四级</v>
      </c>
    </row>
    <row r="293" customHeight="1" spans="1:7">
      <c r="A293" s="3" t="str">
        <f>"2692"</f>
        <v>2692</v>
      </c>
      <c r="B293" s="3" t="s">
        <v>1840</v>
      </c>
      <c r="C293" s="3" t="str">
        <f>"金盆岭街道"</f>
        <v>金盆岭街道</v>
      </c>
      <c r="D293" s="3" t="str">
        <f>"涂新社区"</f>
        <v>涂新社区</v>
      </c>
      <c r="E293" s="3" t="str">
        <f t="shared" si="100"/>
        <v>140</v>
      </c>
      <c r="F293" s="3" t="str">
        <f t="shared" ref="F293:F297" si="111">"100"</f>
        <v>100</v>
      </c>
      <c r="G293" s="3" t="str">
        <f t="shared" si="109"/>
        <v>二级</v>
      </c>
    </row>
    <row r="294" customHeight="1" spans="1:7">
      <c r="A294" s="3" t="str">
        <f>"2693"</f>
        <v>2693</v>
      </c>
      <c r="B294" s="3" t="s">
        <v>1841</v>
      </c>
      <c r="C294" s="3" t="str">
        <f t="shared" ref="C294:C300" si="112">"坡子街街道"</f>
        <v>坡子街街道</v>
      </c>
      <c r="D294" s="3" t="str">
        <f>"登仁桥社区"</f>
        <v>登仁桥社区</v>
      </c>
      <c r="E294" s="3" t="str">
        <f t="shared" si="100"/>
        <v>140</v>
      </c>
      <c r="F294" s="3" t="str">
        <f t="shared" si="111"/>
        <v>100</v>
      </c>
      <c r="G294" s="3" t="str">
        <f t="shared" si="109"/>
        <v>二级</v>
      </c>
    </row>
    <row r="295" customHeight="1" spans="1:7">
      <c r="A295" s="3" t="str">
        <f>"2694"</f>
        <v>2694</v>
      </c>
      <c r="B295" s="3" t="s">
        <v>1070</v>
      </c>
      <c r="C295" s="3" t="str">
        <f t="shared" ref="C295:C297" si="113">"裕南街街道"</f>
        <v>裕南街街道</v>
      </c>
      <c r="D295" s="3" t="str">
        <f>"宝塔山社区"</f>
        <v>宝塔山社区</v>
      </c>
      <c r="E295" s="3" t="str">
        <f t="shared" si="100"/>
        <v>140</v>
      </c>
      <c r="F295" s="3" t="str">
        <f t="shared" si="110"/>
        <v>0</v>
      </c>
      <c r="G295" s="3" t="str">
        <f t="shared" ref="G295:G300" si="114">"四级"</f>
        <v>四级</v>
      </c>
    </row>
    <row r="296" customHeight="1" spans="1:7">
      <c r="A296" s="3" t="str">
        <f>"2695"</f>
        <v>2695</v>
      </c>
      <c r="B296" s="3" t="s">
        <v>1572</v>
      </c>
      <c r="C296" s="3" t="str">
        <f t="shared" si="113"/>
        <v>裕南街街道</v>
      </c>
      <c r="D296" s="3" t="str">
        <f>"宝塔山社区"</f>
        <v>宝塔山社区</v>
      </c>
      <c r="E296" s="3" t="str">
        <f t="shared" si="100"/>
        <v>140</v>
      </c>
      <c r="F296" s="3" t="str">
        <f t="shared" si="110"/>
        <v>0</v>
      </c>
      <c r="G296" s="3" t="str">
        <f>"三级"</f>
        <v>三级</v>
      </c>
    </row>
    <row r="297" customHeight="1" spans="1:7">
      <c r="A297" s="3" t="str">
        <f>"2696"</f>
        <v>2696</v>
      </c>
      <c r="B297" s="3" t="s">
        <v>1842</v>
      </c>
      <c r="C297" s="3" t="str">
        <f t="shared" si="113"/>
        <v>裕南街街道</v>
      </c>
      <c r="D297" s="3" t="str">
        <f>"向东南社区"</f>
        <v>向东南社区</v>
      </c>
      <c r="E297" s="3" t="str">
        <f t="shared" si="100"/>
        <v>140</v>
      </c>
      <c r="F297" s="3" t="str">
        <f t="shared" si="111"/>
        <v>100</v>
      </c>
      <c r="G297" s="3" t="str">
        <f>"二级"</f>
        <v>二级</v>
      </c>
    </row>
    <row r="298" customHeight="1" spans="1:7">
      <c r="A298" s="3" t="str">
        <f>"2697"</f>
        <v>2697</v>
      </c>
      <c r="B298" s="3" t="s">
        <v>1843</v>
      </c>
      <c r="C298" s="3" t="str">
        <f t="shared" si="112"/>
        <v>坡子街街道</v>
      </c>
      <c r="D298" s="3" t="str">
        <f>"文庙坪社区"</f>
        <v>文庙坪社区</v>
      </c>
      <c r="E298" s="3" t="str">
        <f t="shared" si="100"/>
        <v>140</v>
      </c>
      <c r="F298" s="3" t="str">
        <f t="shared" ref="F298:F300" si="115">"0"</f>
        <v>0</v>
      </c>
      <c r="G298" s="3" t="str">
        <f t="shared" si="114"/>
        <v>四级</v>
      </c>
    </row>
    <row r="299" customHeight="1" spans="1:7">
      <c r="A299" s="3" t="str">
        <f>"2698"</f>
        <v>2698</v>
      </c>
      <c r="B299" s="3" t="s">
        <v>394</v>
      </c>
      <c r="C299" s="3" t="str">
        <f t="shared" si="112"/>
        <v>坡子街街道</v>
      </c>
      <c r="D299" s="3" t="str">
        <f>"文庙坪社区"</f>
        <v>文庙坪社区</v>
      </c>
      <c r="E299" s="3" t="str">
        <f t="shared" si="100"/>
        <v>140</v>
      </c>
      <c r="F299" s="3" t="str">
        <f t="shared" si="115"/>
        <v>0</v>
      </c>
      <c r="G299" s="3" t="str">
        <f t="shared" si="114"/>
        <v>四级</v>
      </c>
    </row>
    <row r="300" customHeight="1" spans="1:7">
      <c r="A300" s="3" t="str">
        <f>"2699"</f>
        <v>2699</v>
      </c>
      <c r="B300" s="3" t="s">
        <v>1844</v>
      </c>
      <c r="C300" s="3" t="str">
        <f t="shared" si="112"/>
        <v>坡子街街道</v>
      </c>
      <c r="D300" s="3" t="str">
        <f>"登仁桥社区"</f>
        <v>登仁桥社区</v>
      </c>
      <c r="E300" s="3" t="str">
        <f t="shared" si="100"/>
        <v>140</v>
      </c>
      <c r="F300" s="3" t="str">
        <f t="shared" si="115"/>
        <v>0</v>
      </c>
      <c r="G300" s="3" t="str">
        <f t="shared" si="114"/>
        <v>四级</v>
      </c>
    </row>
    <row r="301" customHeight="1" spans="1:7">
      <c r="A301" s="3" t="str">
        <f>"2700"</f>
        <v>2700</v>
      </c>
      <c r="B301" s="3" t="s">
        <v>195</v>
      </c>
      <c r="C301" s="3" t="str">
        <f t="shared" ref="C301:C304" si="116">"裕南街街道"</f>
        <v>裕南街街道</v>
      </c>
      <c r="D301" s="3" t="str">
        <f>"东瓜山社区"</f>
        <v>东瓜山社区</v>
      </c>
      <c r="E301" s="3" t="str">
        <f t="shared" si="100"/>
        <v>140</v>
      </c>
      <c r="F301" s="3" t="str">
        <f>"100"</f>
        <v>100</v>
      </c>
      <c r="G301" s="3" t="str">
        <f>"二级"</f>
        <v>二级</v>
      </c>
    </row>
    <row r="302" customHeight="1" spans="1:7">
      <c r="A302" s="3" t="str">
        <f>"2701"</f>
        <v>2701</v>
      </c>
      <c r="B302" s="3" t="s">
        <v>1845</v>
      </c>
      <c r="C302" s="3" t="str">
        <f t="shared" si="116"/>
        <v>裕南街街道</v>
      </c>
      <c r="D302" s="3" t="str">
        <f>"宝塔山社区"</f>
        <v>宝塔山社区</v>
      </c>
      <c r="E302" s="3" t="str">
        <f t="shared" si="100"/>
        <v>140</v>
      </c>
      <c r="F302" s="3" t="str">
        <f t="shared" ref="F302:F308" si="117">"0"</f>
        <v>0</v>
      </c>
      <c r="G302" s="3" t="str">
        <f t="shared" ref="G302:G306" si="118">"三级"</f>
        <v>三级</v>
      </c>
    </row>
    <row r="303" customHeight="1" spans="1:7">
      <c r="A303" s="3" t="str">
        <f>"2702"</f>
        <v>2702</v>
      </c>
      <c r="B303" s="3" t="s">
        <v>1846</v>
      </c>
      <c r="C303" s="3" t="str">
        <f t="shared" si="116"/>
        <v>裕南街街道</v>
      </c>
      <c r="D303" s="3" t="str">
        <f>"杏花园社区"</f>
        <v>杏花园社区</v>
      </c>
      <c r="E303" s="3" t="str">
        <f t="shared" si="100"/>
        <v>140</v>
      </c>
      <c r="F303" s="3" t="str">
        <f t="shared" si="117"/>
        <v>0</v>
      </c>
      <c r="G303" s="3" t="str">
        <f t="shared" si="118"/>
        <v>三级</v>
      </c>
    </row>
    <row r="304" customHeight="1" spans="1:7">
      <c r="A304" s="3" t="str">
        <f>"2703"</f>
        <v>2703</v>
      </c>
      <c r="B304" s="3" t="s">
        <v>1847</v>
      </c>
      <c r="C304" s="3" t="str">
        <f t="shared" si="116"/>
        <v>裕南街街道</v>
      </c>
      <c r="D304" s="3" t="str">
        <f>"杏花园社区"</f>
        <v>杏花园社区</v>
      </c>
      <c r="E304" s="3" t="str">
        <f t="shared" si="100"/>
        <v>140</v>
      </c>
      <c r="F304" s="3" t="str">
        <f t="shared" si="117"/>
        <v>0</v>
      </c>
      <c r="G304" s="3" t="str">
        <f>"四级"</f>
        <v>四级</v>
      </c>
    </row>
    <row r="305" customHeight="1" spans="1:7">
      <c r="A305" s="3" t="str">
        <f>"2704"</f>
        <v>2704</v>
      </c>
      <c r="B305" s="3" t="s">
        <v>126</v>
      </c>
      <c r="C305" s="3" t="str">
        <f t="shared" ref="C305:C309" si="119">"坡子街街道"</f>
        <v>坡子街街道</v>
      </c>
      <c r="D305" s="3" t="str">
        <f>"碧湘社区"</f>
        <v>碧湘社区</v>
      </c>
      <c r="E305" s="3" t="str">
        <f t="shared" si="100"/>
        <v>140</v>
      </c>
      <c r="F305" s="3" t="str">
        <f t="shared" si="117"/>
        <v>0</v>
      </c>
      <c r="G305" s="3" t="str">
        <f t="shared" si="118"/>
        <v>三级</v>
      </c>
    </row>
    <row r="306" customHeight="1" spans="1:7">
      <c r="A306" s="3" t="str">
        <f>"2705"</f>
        <v>2705</v>
      </c>
      <c r="B306" s="3" t="s">
        <v>1848</v>
      </c>
      <c r="C306" s="3" t="str">
        <f t="shared" si="119"/>
        <v>坡子街街道</v>
      </c>
      <c r="D306" s="3" t="str">
        <f>"太平街社区"</f>
        <v>太平街社区</v>
      </c>
      <c r="E306" s="3" t="str">
        <f t="shared" si="100"/>
        <v>140</v>
      </c>
      <c r="F306" s="3" t="str">
        <f t="shared" si="117"/>
        <v>0</v>
      </c>
      <c r="G306" s="3" t="str">
        <f t="shared" si="118"/>
        <v>三级</v>
      </c>
    </row>
    <row r="307" customHeight="1" spans="1:7">
      <c r="A307" s="3" t="str">
        <f>"2706"</f>
        <v>2706</v>
      </c>
      <c r="B307" s="3" t="s">
        <v>1849</v>
      </c>
      <c r="C307" s="3" t="str">
        <f t="shared" si="119"/>
        <v>坡子街街道</v>
      </c>
      <c r="D307" s="3" t="str">
        <f>"坡子街社区"</f>
        <v>坡子街社区</v>
      </c>
      <c r="E307" s="3" t="str">
        <f t="shared" si="100"/>
        <v>140</v>
      </c>
      <c r="F307" s="3" t="str">
        <f t="shared" si="117"/>
        <v>0</v>
      </c>
      <c r="G307" s="3" t="str">
        <f>"四级"</f>
        <v>四级</v>
      </c>
    </row>
    <row r="308" customHeight="1" spans="1:7">
      <c r="A308" s="3" t="str">
        <f>"2707"</f>
        <v>2707</v>
      </c>
      <c r="B308" s="3" t="s">
        <v>1850</v>
      </c>
      <c r="C308" s="3" t="str">
        <f t="shared" si="119"/>
        <v>坡子街街道</v>
      </c>
      <c r="D308" s="3" t="str">
        <f>"登仁桥社区"</f>
        <v>登仁桥社区</v>
      </c>
      <c r="E308" s="3" t="str">
        <f t="shared" si="100"/>
        <v>140</v>
      </c>
      <c r="F308" s="3" t="str">
        <f t="shared" si="117"/>
        <v>0</v>
      </c>
      <c r="G308" s="3" t="str">
        <f>"三级"</f>
        <v>三级</v>
      </c>
    </row>
    <row r="309" customHeight="1" spans="1:7">
      <c r="A309" s="3" t="str">
        <f>"2708"</f>
        <v>2708</v>
      </c>
      <c r="B309" s="3" t="s">
        <v>1851</v>
      </c>
      <c r="C309" s="3" t="str">
        <f t="shared" si="119"/>
        <v>坡子街街道</v>
      </c>
      <c r="D309" s="3" t="str">
        <f>"登仁桥社区"</f>
        <v>登仁桥社区</v>
      </c>
      <c r="E309" s="3" t="str">
        <f t="shared" si="100"/>
        <v>140</v>
      </c>
      <c r="F309" s="3" t="str">
        <f t="shared" ref="F309:F311" si="120">"100"</f>
        <v>100</v>
      </c>
      <c r="G309" s="3" t="str">
        <f t="shared" ref="G309:G311" si="121">"二级"</f>
        <v>二级</v>
      </c>
    </row>
    <row r="310" customHeight="1" spans="1:7">
      <c r="A310" s="3" t="str">
        <f>"2709"</f>
        <v>2709</v>
      </c>
      <c r="B310" s="3" t="s">
        <v>1852</v>
      </c>
      <c r="C310" s="3" t="str">
        <f t="shared" ref="C310:C314" si="122">"南托街道"</f>
        <v>南托街道</v>
      </c>
      <c r="D310" s="3" t="str">
        <f>"沿江村"</f>
        <v>沿江村</v>
      </c>
      <c r="E310" s="3" t="str">
        <f t="shared" si="100"/>
        <v>140</v>
      </c>
      <c r="F310" s="3" t="str">
        <f t="shared" si="120"/>
        <v>100</v>
      </c>
      <c r="G310" s="3" t="str">
        <f t="shared" si="121"/>
        <v>二级</v>
      </c>
    </row>
    <row r="311" customHeight="1" spans="1:7">
      <c r="A311" s="3" t="str">
        <f>"2710"</f>
        <v>2710</v>
      </c>
      <c r="B311" s="3" t="s">
        <v>32</v>
      </c>
      <c r="C311" s="3" t="str">
        <f t="shared" si="122"/>
        <v>南托街道</v>
      </c>
      <c r="D311" s="3" t="str">
        <f>"欣南社区"</f>
        <v>欣南社区</v>
      </c>
      <c r="E311" s="3" t="str">
        <f t="shared" si="100"/>
        <v>140</v>
      </c>
      <c r="F311" s="3" t="str">
        <f t="shared" si="120"/>
        <v>100</v>
      </c>
      <c r="G311" s="3" t="str">
        <f t="shared" si="121"/>
        <v>二级</v>
      </c>
    </row>
    <row r="312" customHeight="1" spans="1:7">
      <c r="A312" s="3" t="str">
        <f>"2711"</f>
        <v>2711</v>
      </c>
      <c r="B312" s="3" t="s">
        <v>1853</v>
      </c>
      <c r="C312" s="3" t="str">
        <f t="shared" si="122"/>
        <v>南托街道</v>
      </c>
      <c r="D312" s="3" t="str">
        <f t="shared" ref="D312:D314" si="123">"滨洲新村"</f>
        <v>滨洲新村</v>
      </c>
      <c r="E312" s="3" t="str">
        <f t="shared" si="100"/>
        <v>140</v>
      </c>
      <c r="F312" s="3" t="str">
        <f>"0"</f>
        <v>0</v>
      </c>
      <c r="G312" s="3" t="str">
        <f>"四级"</f>
        <v>四级</v>
      </c>
    </row>
    <row r="313" customHeight="1" spans="1:7">
      <c r="A313" s="3" t="str">
        <f>"2712"</f>
        <v>2712</v>
      </c>
      <c r="B313" s="3" t="s">
        <v>1854</v>
      </c>
      <c r="C313" s="3" t="str">
        <f t="shared" si="122"/>
        <v>南托街道</v>
      </c>
      <c r="D313" s="3" t="str">
        <f t="shared" si="123"/>
        <v>滨洲新村</v>
      </c>
      <c r="E313" s="3" t="str">
        <f t="shared" si="100"/>
        <v>140</v>
      </c>
      <c r="F313" s="3" t="str">
        <f t="shared" ref="F313:F322" si="124">"100"</f>
        <v>100</v>
      </c>
      <c r="G313" s="3" t="str">
        <f t="shared" ref="G313:G316" si="125">"二级"</f>
        <v>二级</v>
      </c>
    </row>
    <row r="314" customHeight="1" spans="1:7">
      <c r="A314" s="3" t="str">
        <f>"2713"</f>
        <v>2713</v>
      </c>
      <c r="B314" s="3" t="s">
        <v>1855</v>
      </c>
      <c r="C314" s="3" t="str">
        <f t="shared" si="122"/>
        <v>南托街道</v>
      </c>
      <c r="D314" s="3" t="str">
        <f t="shared" si="123"/>
        <v>滨洲新村</v>
      </c>
      <c r="E314" s="3" t="str">
        <f t="shared" si="100"/>
        <v>140</v>
      </c>
      <c r="F314" s="3" t="str">
        <f t="shared" si="124"/>
        <v>100</v>
      </c>
      <c r="G314" s="3" t="str">
        <f t="shared" si="125"/>
        <v>二级</v>
      </c>
    </row>
    <row r="315" customHeight="1" spans="1:7">
      <c r="A315" s="3" t="str">
        <f>"2714"</f>
        <v>2714</v>
      </c>
      <c r="B315" s="3" t="s">
        <v>32</v>
      </c>
      <c r="C315" s="3" t="str">
        <f>"桂花坪街道"</f>
        <v>桂花坪街道</v>
      </c>
      <c r="D315" s="3" t="str">
        <f>"银桂苑社区"</f>
        <v>银桂苑社区</v>
      </c>
      <c r="E315" s="3" t="str">
        <f t="shared" si="100"/>
        <v>140</v>
      </c>
      <c r="F315" s="3" t="str">
        <f t="shared" si="124"/>
        <v>100</v>
      </c>
      <c r="G315" s="3" t="str">
        <f t="shared" si="125"/>
        <v>二级</v>
      </c>
    </row>
    <row r="316" customHeight="1" spans="1:7">
      <c r="A316" s="3" t="str">
        <f>"2715"</f>
        <v>2715</v>
      </c>
      <c r="B316" s="3" t="s">
        <v>1856</v>
      </c>
      <c r="C316" s="3" t="str">
        <f t="shared" ref="C316:C319" si="126">"暮云街道"</f>
        <v>暮云街道</v>
      </c>
      <c r="D316" s="3" t="str">
        <f>"华月湖社区"</f>
        <v>华月湖社区</v>
      </c>
      <c r="E316" s="3" t="str">
        <f t="shared" si="100"/>
        <v>140</v>
      </c>
      <c r="F316" s="3" t="str">
        <f t="shared" si="124"/>
        <v>100</v>
      </c>
      <c r="G316" s="3" t="str">
        <f t="shared" si="125"/>
        <v>二级</v>
      </c>
    </row>
    <row r="317" customHeight="1" spans="1:7">
      <c r="A317" s="3" t="str">
        <f>"2716"</f>
        <v>2716</v>
      </c>
      <c r="B317" s="3" t="s">
        <v>1857</v>
      </c>
      <c r="C317" s="3" t="str">
        <f t="shared" ref="C317:C321" si="127">"裕南街街道"</f>
        <v>裕南街街道</v>
      </c>
      <c r="D317" s="3" t="str">
        <f>"石子冲社区"</f>
        <v>石子冲社区</v>
      </c>
      <c r="E317" s="3" t="str">
        <f t="shared" si="100"/>
        <v>140</v>
      </c>
      <c r="F317" s="3" t="str">
        <f t="shared" si="124"/>
        <v>100</v>
      </c>
      <c r="G317" s="3" t="str">
        <f t="shared" ref="G317:G320" si="128">"一级"</f>
        <v>一级</v>
      </c>
    </row>
    <row r="318" customHeight="1" spans="1:7">
      <c r="A318" s="3" t="str">
        <f>"2717"</f>
        <v>2717</v>
      </c>
      <c r="B318" s="3" t="s">
        <v>1858</v>
      </c>
      <c r="C318" s="3" t="str">
        <f t="shared" si="126"/>
        <v>暮云街道</v>
      </c>
      <c r="D318" s="3" t="str">
        <f>"云塘社区"</f>
        <v>云塘社区</v>
      </c>
      <c r="E318" s="3" t="str">
        <f t="shared" si="100"/>
        <v>140</v>
      </c>
      <c r="F318" s="3" t="str">
        <f t="shared" si="124"/>
        <v>100</v>
      </c>
      <c r="G318" s="3" t="str">
        <f>"二级"</f>
        <v>二级</v>
      </c>
    </row>
    <row r="319" customHeight="1" spans="1:7">
      <c r="A319" s="3" t="str">
        <f>"2718"</f>
        <v>2718</v>
      </c>
      <c r="B319" s="3" t="s">
        <v>1859</v>
      </c>
      <c r="C319" s="3" t="str">
        <f t="shared" si="126"/>
        <v>暮云街道</v>
      </c>
      <c r="D319" s="3" t="str">
        <f>"怡海社区"</f>
        <v>怡海社区</v>
      </c>
      <c r="E319" s="3" t="str">
        <f t="shared" si="100"/>
        <v>140</v>
      </c>
      <c r="F319" s="3" t="str">
        <f t="shared" si="124"/>
        <v>100</v>
      </c>
      <c r="G319" s="3" t="str">
        <f t="shared" si="128"/>
        <v>一级</v>
      </c>
    </row>
    <row r="320" customHeight="1" spans="1:7">
      <c r="A320" s="3" t="str">
        <f>"2719"</f>
        <v>2719</v>
      </c>
      <c r="B320" s="3" t="s">
        <v>1860</v>
      </c>
      <c r="C320" s="3" t="str">
        <f t="shared" si="127"/>
        <v>裕南街街道</v>
      </c>
      <c r="D320" s="3" t="str">
        <f>"火把山社区"</f>
        <v>火把山社区</v>
      </c>
      <c r="E320" s="3" t="str">
        <f t="shared" si="100"/>
        <v>140</v>
      </c>
      <c r="F320" s="3" t="str">
        <f t="shared" si="124"/>
        <v>100</v>
      </c>
      <c r="G320" s="3" t="str">
        <f t="shared" si="128"/>
        <v>一级</v>
      </c>
    </row>
    <row r="321" customHeight="1" spans="1:7">
      <c r="A321" s="3" t="str">
        <f>"2720"</f>
        <v>2720</v>
      </c>
      <c r="B321" s="3" t="s">
        <v>1861</v>
      </c>
      <c r="C321" s="3" t="str">
        <f t="shared" si="127"/>
        <v>裕南街街道</v>
      </c>
      <c r="D321" s="3" t="str">
        <f>"杏花园社区"</f>
        <v>杏花园社区</v>
      </c>
      <c r="E321" s="3" t="str">
        <f t="shared" si="100"/>
        <v>140</v>
      </c>
      <c r="F321" s="3" t="str">
        <f t="shared" si="124"/>
        <v>100</v>
      </c>
      <c r="G321" s="3" t="str">
        <f>"二级"</f>
        <v>二级</v>
      </c>
    </row>
    <row r="322" customHeight="1" spans="1:7">
      <c r="A322" s="3" t="str">
        <f>"2721"</f>
        <v>2721</v>
      </c>
      <c r="B322" s="3" t="s">
        <v>1387</v>
      </c>
      <c r="C322" s="3" t="str">
        <f t="shared" ref="C322:C324" si="129">"坡子街街道"</f>
        <v>坡子街街道</v>
      </c>
      <c r="D322" s="3" t="str">
        <f>"登仁桥社区"</f>
        <v>登仁桥社区</v>
      </c>
      <c r="E322" s="3" t="str">
        <f t="shared" ref="E322:E385" si="130">"140"</f>
        <v>140</v>
      </c>
      <c r="F322" s="3" t="str">
        <f t="shared" si="124"/>
        <v>100</v>
      </c>
      <c r="G322" s="3" t="str">
        <f t="shared" ref="G322:G326" si="131">"一级"</f>
        <v>一级</v>
      </c>
    </row>
    <row r="323" customHeight="1" spans="1:7">
      <c r="A323" s="3" t="str">
        <f>"2722"</f>
        <v>2722</v>
      </c>
      <c r="B323" s="3" t="s">
        <v>1862</v>
      </c>
      <c r="C323" s="3" t="str">
        <f t="shared" si="129"/>
        <v>坡子街街道</v>
      </c>
      <c r="D323" s="3" t="str">
        <f>"青山祠社区"</f>
        <v>青山祠社区</v>
      </c>
      <c r="E323" s="3" t="str">
        <f t="shared" si="130"/>
        <v>140</v>
      </c>
      <c r="F323" s="3" t="str">
        <f>"0"</f>
        <v>0</v>
      </c>
      <c r="G323" s="3" t="str">
        <f>"三级"</f>
        <v>三级</v>
      </c>
    </row>
    <row r="324" customHeight="1" spans="1:7">
      <c r="A324" s="3" t="str">
        <f>"2723"</f>
        <v>2723</v>
      </c>
      <c r="B324" s="3" t="s">
        <v>690</v>
      </c>
      <c r="C324" s="3" t="str">
        <f t="shared" si="129"/>
        <v>坡子街街道</v>
      </c>
      <c r="D324" s="3" t="str">
        <f>"西湖社区"</f>
        <v>西湖社区</v>
      </c>
      <c r="E324" s="3" t="str">
        <f t="shared" si="130"/>
        <v>140</v>
      </c>
      <c r="F324" s="3" t="str">
        <f t="shared" ref="F324:F333" si="132">"100"</f>
        <v>100</v>
      </c>
      <c r="G324" s="3" t="str">
        <f t="shared" si="131"/>
        <v>一级</v>
      </c>
    </row>
    <row r="325" customHeight="1" spans="1:7">
      <c r="A325" s="3" t="str">
        <f>"2724"</f>
        <v>2724</v>
      </c>
      <c r="B325" s="3" t="s">
        <v>1863</v>
      </c>
      <c r="C325" s="3" t="str">
        <f>"新开铺街道"</f>
        <v>新开铺街道</v>
      </c>
      <c r="D325" s="3" t="str">
        <f>"新开铺社区"</f>
        <v>新开铺社区</v>
      </c>
      <c r="E325" s="3" t="str">
        <f t="shared" si="130"/>
        <v>140</v>
      </c>
      <c r="F325" s="3" t="str">
        <f t="shared" si="132"/>
        <v>100</v>
      </c>
      <c r="G325" s="3" t="str">
        <f t="shared" si="131"/>
        <v>一级</v>
      </c>
    </row>
    <row r="326" customHeight="1" spans="1:7">
      <c r="A326" s="3" t="str">
        <f>"2725"</f>
        <v>2725</v>
      </c>
      <c r="B326" s="3" t="s">
        <v>1500</v>
      </c>
      <c r="C326" s="3" t="str">
        <f>"暮云街道"</f>
        <v>暮云街道</v>
      </c>
      <c r="D326" s="3" t="str">
        <f>"许兴村"</f>
        <v>许兴村</v>
      </c>
      <c r="E326" s="3" t="str">
        <f t="shared" si="130"/>
        <v>140</v>
      </c>
      <c r="F326" s="3" t="str">
        <f t="shared" si="132"/>
        <v>100</v>
      </c>
      <c r="G326" s="3" t="str">
        <f t="shared" si="131"/>
        <v>一级</v>
      </c>
    </row>
    <row r="327" customHeight="1" spans="1:7">
      <c r="A327" s="3" t="str">
        <f>"2726"</f>
        <v>2726</v>
      </c>
      <c r="B327" s="3" t="s">
        <v>1242</v>
      </c>
      <c r="C327" s="3" t="str">
        <f>"城南路街道"</f>
        <v>城南路街道</v>
      </c>
      <c r="D327" s="3" t="str">
        <f>"熙台岭社区"</f>
        <v>熙台岭社区</v>
      </c>
      <c r="E327" s="3" t="str">
        <f t="shared" si="130"/>
        <v>140</v>
      </c>
      <c r="F327" s="3" t="str">
        <f t="shared" si="132"/>
        <v>100</v>
      </c>
      <c r="G327" s="3" t="str">
        <f t="shared" ref="G327:G331" si="133">"二级"</f>
        <v>二级</v>
      </c>
    </row>
    <row r="328" customHeight="1" spans="1:7">
      <c r="A328" s="3" t="str">
        <f>"2727"</f>
        <v>2727</v>
      </c>
      <c r="B328" s="3" t="s">
        <v>1864</v>
      </c>
      <c r="C328" s="3" t="str">
        <f>"黑石铺街道"</f>
        <v>黑石铺街道</v>
      </c>
      <c r="D328" s="3" t="str">
        <f>"铭安社区"</f>
        <v>铭安社区</v>
      </c>
      <c r="E328" s="3" t="str">
        <f t="shared" si="130"/>
        <v>140</v>
      </c>
      <c r="F328" s="3" t="str">
        <f t="shared" si="132"/>
        <v>100</v>
      </c>
      <c r="G328" s="3" t="str">
        <f t="shared" ref="G328:G333" si="134">"一级"</f>
        <v>一级</v>
      </c>
    </row>
    <row r="329" customHeight="1" spans="1:7">
      <c r="A329" s="3" t="str">
        <f>"2728"</f>
        <v>2728</v>
      </c>
      <c r="B329" s="3" t="s">
        <v>233</v>
      </c>
      <c r="C329" s="3" t="str">
        <f>"坡子街街道"</f>
        <v>坡子街街道</v>
      </c>
      <c r="D329" s="3" t="str">
        <f>"西湖社区"</f>
        <v>西湖社区</v>
      </c>
      <c r="E329" s="3" t="str">
        <f t="shared" si="130"/>
        <v>140</v>
      </c>
      <c r="F329" s="3" t="str">
        <f t="shared" si="132"/>
        <v>100</v>
      </c>
      <c r="G329" s="3" t="str">
        <f t="shared" si="133"/>
        <v>二级</v>
      </c>
    </row>
    <row r="330" customHeight="1" spans="1:7">
      <c r="A330" s="3" t="str">
        <f>"2729"</f>
        <v>2729</v>
      </c>
      <c r="B330" s="3" t="s">
        <v>1865</v>
      </c>
      <c r="C330" s="3" t="str">
        <f>"南托街道"</f>
        <v>南托街道</v>
      </c>
      <c r="D330" s="3" t="str">
        <f>"融城社区"</f>
        <v>融城社区</v>
      </c>
      <c r="E330" s="3" t="str">
        <f t="shared" si="130"/>
        <v>140</v>
      </c>
      <c r="F330" s="3" t="str">
        <f t="shared" si="132"/>
        <v>100</v>
      </c>
      <c r="G330" s="3" t="str">
        <f t="shared" si="134"/>
        <v>一级</v>
      </c>
    </row>
    <row r="331" customHeight="1" spans="1:7">
      <c r="A331" s="3" t="str">
        <f>"2730"</f>
        <v>2730</v>
      </c>
      <c r="B331" s="3" t="s">
        <v>1270</v>
      </c>
      <c r="C331" s="3" t="str">
        <f>"坡子街街道"</f>
        <v>坡子街街道</v>
      </c>
      <c r="D331" s="3" t="str">
        <f>"西牌楼社区"</f>
        <v>西牌楼社区</v>
      </c>
      <c r="E331" s="3" t="str">
        <f t="shared" si="130"/>
        <v>140</v>
      </c>
      <c r="F331" s="3" t="str">
        <f t="shared" si="132"/>
        <v>100</v>
      </c>
      <c r="G331" s="3" t="str">
        <f t="shared" si="133"/>
        <v>二级</v>
      </c>
    </row>
    <row r="332" customHeight="1" spans="1:7">
      <c r="A332" s="3" t="str">
        <f>"2731"</f>
        <v>2731</v>
      </c>
      <c r="B332" s="3" t="s">
        <v>1866</v>
      </c>
      <c r="C332" s="3" t="str">
        <f>"黑石铺街道"</f>
        <v>黑石铺街道</v>
      </c>
      <c r="D332" s="3" t="str">
        <f>"创谷社区"</f>
        <v>创谷社区</v>
      </c>
      <c r="E332" s="3" t="str">
        <f t="shared" si="130"/>
        <v>140</v>
      </c>
      <c r="F332" s="3" t="str">
        <f t="shared" si="132"/>
        <v>100</v>
      </c>
      <c r="G332" s="3" t="str">
        <f t="shared" si="134"/>
        <v>一级</v>
      </c>
    </row>
    <row r="333" customHeight="1" spans="1:7">
      <c r="A333" s="3" t="str">
        <f>"2732"</f>
        <v>2732</v>
      </c>
      <c r="B333" s="3" t="s">
        <v>1867</v>
      </c>
      <c r="C333" s="3" t="str">
        <f>"暮云街道"</f>
        <v>暮云街道</v>
      </c>
      <c r="D333" s="3" t="str">
        <f>"怡海社区"</f>
        <v>怡海社区</v>
      </c>
      <c r="E333" s="3" t="str">
        <f t="shared" si="130"/>
        <v>140</v>
      </c>
      <c r="F333" s="3" t="str">
        <f t="shared" si="132"/>
        <v>100</v>
      </c>
      <c r="G333" s="3" t="str">
        <f t="shared" si="134"/>
        <v>一级</v>
      </c>
    </row>
    <row r="334" customHeight="1" spans="1:7">
      <c r="A334" s="3" t="str">
        <f>"2733"</f>
        <v>2733</v>
      </c>
      <c r="B334" s="3" t="s">
        <v>1081</v>
      </c>
      <c r="C334" s="3" t="str">
        <f>"赤岭路街道"</f>
        <v>赤岭路街道</v>
      </c>
      <c r="D334" s="3" t="str">
        <f>"南大桥社区"</f>
        <v>南大桥社区</v>
      </c>
      <c r="E334" s="3" t="str">
        <f t="shared" si="130"/>
        <v>140</v>
      </c>
      <c r="F334" s="3" t="str">
        <f>"0"</f>
        <v>0</v>
      </c>
      <c r="G334" s="3" t="str">
        <f>"四级"</f>
        <v>四级</v>
      </c>
    </row>
    <row r="335" customHeight="1" spans="1:7">
      <c r="A335" s="3" t="str">
        <f>"2734"</f>
        <v>2734</v>
      </c>
      <c r="B335" s="3" t="s">
        <v>745</v>
      </c>
      <c r="C335" s="3" t="str">
        <f t="shared" ref="C335:C338" si="135">"裕南街街道"</f>
        <v>裕南街街道</v>
      </c>
      <c r="D335" s="3" t="str">
        <f>"长坡社区"</f>
        <v>长坡社区</v>
      </c>
      <c r="E335" s="3" t="str">
        <f t="shared" si="130"/>
        <v>140</v>
      </c>
      <c r="F335" s="3" t="str">
        <f t="shared" ref="F335:F349" si="136">"100"</f>
        <v>100</v>
      </c>
      <c r="G335" s="3" t="str">
        <f t="shared" ref="G335:G342" si="137">"二级"</f>
        <v>二级</v>
      </c>
    </row>
    <row r="336" customHeight="1" spans="1:7">
      <c r="A336" s="3" t="str">
        <f>"2735"</f>
        <v>2735</v>
      </c>
      <c r="B336" s="3" t="s">
        <v>1868</v>
      </c>
      <c r="C336" s="3" t="str">
        <f t="shared" si="135"/>
        <v>裕南街街道</v>
      </c>
      <c r="D336" s="3" t="str">
        <f>"向东南社区"</f>
        <v>向东南社区</v>
      </c>
      <c r="E336" s="3" t="str">
        <f t="shared" si="130"/>
        <v>140</v>
      </c>
      <c r="F336" s="3" t="str">
        <f>"0"</f>
        <v>0</v>
      </c>
      <c r="G336" s="3" t="str">
        <f>"四级"</f>
        <v>四级</v>
      </c>
    </row>
    <row r="337" customHeight="1" spans="1:7">
      <c r="A337" s="3" t="str">
        <f>"2736"</f>
        <v>2736</v>
      </c>
      <c r="B337" s="3" t="s">
        <v>1869</v>
      </c>
      <c r="C337" s="3" t="str">
        <f>"新开铺街道"</f>
        <v>新开铺街道</v>
      </c>
      <c r="D337" s="3" t="str">
        <f>"新开铺社区"</f>
        <v>新开铺社区</v>
      </c>
      <c r="E337" s="3" t="str">
        <f t="shared" si="130"/>
        <v>140</v>
      </c>
      <c r="F337" s="3" t="str">
        <f t="shared" si="136"/>
        <v>100</v>
      </c>
      <c r="G337" s="3" t="str">
        <f t="shared" si="137"/>
        <v>二级</v>
      </c>
    </row>
    <row r="338" customHeight="1" spans="1:7">
      <c r="A338" s="3" t="str">
        <f>"2737"</f>
        <v>2737</v>
      </c>
      <c r="B338" s="3" t="s">
        <v>1870</v>
      </c>
      <c r="C338" s="3" t="str">
        <f t="shared" si="135"/>
        <v>裕南街街道</v>
      </c>
      <c r="D338" s="3" t="str">
        <f>"向东南社区"</f>
        <v>向东南社区</v>
      </c>
      <c r="E338" s="3" t="str">
        <f t="shared" si="130"/>
        <v>140</v>
      </c>
      <c r="F338" s="3" t="str">
        <f t="shared" si="136"/>
        <v>100</v>
      </c>
      <c r="G338" s="3" t="str">
        <f>"一级"</f>
        <v>一级</v>
      </c>
    </row>
    <row r="339" customHeight="1" spans="1:7">
      <c r="A339" s="3" t="str">
        <f>"2738"</f>
        <v>2738</v>
      </c>
      <c r="B339" s="3" t="s">
        <v>139</v>
      </c>
      <c r="C339" s="3" t="str">
        <f>"赤岭路街道"</f>
        <v>赤岭路街道</v>
      </c>
      <c r="D339" s="3" t="str">
        <f>"广厦新村社区"</f>
        <v>广厦新村社区</v>
      </c>
      <c r="E339" s="3" t="str">
        <f t="shared" si="130"/>
        <v>140</v>
      </c>
      <c r="F339" s="3" t="str">
        <f t="shared" si="136"/>
        <v>100</v>
      </c>
      <c r="G339" s="3" t="str">
        <f t="shared" si="137"/>
        <v>二级</v>
      </c>
    </row>
    <row r="340" customHeight="1" spans="1:7">
      <c r="A340" s="3" t="str">
        <f>"2739"</f>
        <v>2739</v>
      </c>
      <c r="B340" s="3" t="s">
        <v>1871</v>
      </c>
      <c r="C340" s="3" t="str">
        <f>"新开铺街道"</f>
        <v>新开铺街道</v>
      </c>
      <c r="D340" s="3" t="str">
        <f>"新开铺社区"</f>
        <v>新开铺社区</v>
      </c>
      <c r="E340" s="3" t="str">
        <f t="shared" si="130"/>
        <v>140</v>
      </c>
      <c r="F340" s="3" t="str">
        <f t="shared" si="136"/>
        <v>100</v>
      </c>
      <c r="G340" s="3" t="str">
        <f t="shared" si="137"/>
        <v>二级</v>
      </c>
    </row>
    <row r="341" customHeight="1" spans="1:7">
      <c r="A341" s="3" t="str">
        <f>"2740"</f>
        <v>2740</v>
      </c>
      <c r="B341" s="3" t="s">
        <v>1872</v>
      </c>
      <c r="C341" s="3" t="str">
        <f t="shared" ref="C341:C344" si="138">"裕南街街道"</f>
        <v>裕南街街道</v>
      </c>
      <c r="D341" s="3" t="str">
        <f>"火把山社区"</f>
        <v>火把山社区</v>
      </c>
      <c r="E341" s="3" t="str">
        <f t="shared" si="130"/>
        <v>140</v>
      </c>
      <c r="F341" s="3" t="str">
        <f t="shared" si="136"/>
        <v>100</v>
      </c>
      <c r="G341" s="3" t="str">
        <f t="shared" si="137"/>
        <v>二级</v>
      </c>
    </row>
    <row r="342" customHeight="1" spans="1:7">
      <c r="A342" s="3" t="str">
        <f>"2741"</f>
        <v>2741</v>
      </c>
      <c r="B342" s="3" t="s">
        <v>330</v>
      </c>
      <c r="C342" s="3" t="str">
        <f t="shared" si="138"/>
        <v>裕南街街道</v>
      </c>
      <c r="D342" s="3" t="str">
        <f>"长坡社区"</f>
        <v>长坡社区</v>
      </c>
      <c r="E342" s="3" t="str">
        <f t="shared" si="130"/>
        <v>140</v>
      </c>
      <c r="F342" s="3" t="str">
        <f t="shared" si="136"/>
        <v>100</v>
      </c>
      <c r="G342" s="3" t="str">
        <f t="shared" si="137"/>
        <v>二级</v>
      </c>
    </row>
    <row r="343" customHeight="1" spans="1:7">
      <c r="A343" s="3" t="str">
        <f>"2742"</f>
        <v>2742</v>
      </c>
      <c r="B343" s="3" t="s">
        <v>1873</v>
      </c>
      <c r="C343" s="3" t="str">
        <f>"赤岭路街道"</f>
        <v>赤岭路街道</v>
      </c>
      <c r="D343" s="3" t="str">
        <f>"南大桥社区"</f>
        <v>南大桥社区</v>
      </c>
      <c r="E343" s="3" t="str">
        <f t="shared" si="130"/>
        <v>140</v>
      </c>
      <c r="F343" s="3" t="str">
        <f t="shared" si="136"/>
        <v>100</v>
      </c>
      <c r="G343" s="3" t="str">
        <f t="shared" ref="G343:G347" si="139">"一级"</f>
        <v>一级</v>
      </c>
    </row>
    <row r="344" customHeight="1" spans="1:7">
      <c r="A344" s="3" t="str">
        <f>"2743"</f>
        <v>2743</v>
      </c>
      <c r="B344" s="3" t="s">
        <v>355</v>
      </c>
      <c r="C344" s="3" t="str">
        <f t="shared" si="138"/>
        <v>裕南街街道</v>
      </c>
      <c r="D344" s="3" t="str">
        <f>"长坡社区"</f>
        <v>长坡社区</v>
      </c>
      <c r="E344" s="3" t="str">
        <f t="shared" si="130"/>
        <v>140</v>
      </c>
      <c r="F344" s="3" t="str">
        <f t="shared" si="136"/>
        <v>100</v>
      </c>
      <c r="G344" s="3" t="str">
        <f t="shared" ref="G344:G349" si="140">"二级"</f>
        <v>二级</v>
      </c>
    </row>
    <row r="345" customHeight="1" spans="1:7">
      <c r="A345" s="3" t="str">
        <f>"2744"</f>
        <v>2744</v>
      </c>
      <c r="B345" s="3" t="s">
        <v>1874</v>
      </c>
      <c r="C345" s="3" t="str">
        <f>"文源街道"</f>
        <v>文源街道</v>
      </c>
      <c r="D345" s="3" t="str">
        <f>"梅岭社区"</f>
        <v>梅岭社区</v>
      </c>
      <c r="E345" s="3" t="str">
        <f t="shared" si="130"/>
        <v>140</v>
      </c>
      <c r="F345" s="3" t="str">
        <f t="shared" si="136"/>
        <v>100</v>
      </c>
      <c r="G345" s="3" t="str">
        <f t="shared" si="139"/>
        <v>一级</v>
      </c>
    </row>
    <row r="346" customHeight="1" spans="1:7">
      <c r="A346" s="3" t="str">
        <f>"2745"</f>
        <v>2745</v>
      </c>
      <c r="B346" s="3" t="s">
        <v>1875</v>
      </c>
      <c r="C346" s="3" t="str">
        <f>"桂花坪街道"</f>
        <v>桂花坪街道</v>
      </c>
      <c r="D346" s="3" t="str">
        <f>"桂庄社区"</f>
        <v>桂庄社区</v>
      </c>
      <c r="E346" s="3" t="str">
        <f t="shared" si="130"/>
        <v>140</v>
      </c>
      <c r="F346" s="3" t="str">
        <f t="shared" si="136"/>
        <v>100</v>
      </c>
      <c r="G346" s="3" t="str">
        <f t="shared" si="140"/>
        <v>二级</v>
      </c>
    </row>
    <row r="347" customHeight="1" spans="1:7">
      <c r="A347" s="3" t="str">
        <f>"2746"</f>
        <v>2746</v>
      </c>
      <c r="B347" s="3" t="s">
        <v>1876</v>
      </c>
      <c r="C347" s="3" t="str">
        <f>"城南路街道"</f>
        <v>城南路街道</v>
      </c>
      <c r="D347" s="3" t="str">
        <f>"古道巷社区"</f>
        <v>古道巷社区</v>
      </c>
      <c r="E347" s="3" t="str">
        <f t="shared" si="130"/>
        <v>140</v>
      </c>
      <c r="F347" s="3" t="str">
        <f t="shared" si="136"/>
        <v>100</v>
      </c>
      <c r="G347" s="3" t="str">
        <f t="shared" si="139"/>
        <v>一级</v>
      </c>
    </row>
    <row r="348" customHeight="1" spans="1:7">
      <c r="A348" s="3" t="str">
        <f>"2747"</f>
        <v>2747</v>
      </c>
      <c r="B348" s="3" t="s">
        <v>1627</v>
      </c>
      <c r="C348" s="3" t="str">
        <f>"南托街道"</f>
        <v>南托街道</v>
      </c>
      <c r="D348" s="3" t="str">
        <f>"北塘社区"</f>
        <v>北塘社区</v>
      </c>
      <c r="E348" s="3" t="str">
        <f t="shared" si="130"/>
        <v>140</v>
      </c>
      <c r="F348" s="3" t="str">
        <f t="shared" si="136"/>
        <v>100</v>
      </c>
      <c r="G348" s="3" t="str">
        <f t="shared" si="140"/>
        <v>二级</v>
      </c>
    </row>
    <row r="349" customHeight="1" spans="1:7">
      <c r="A349" s="3" t="str">
        <f>"2748"</f>
        <v>2748</v>
      </c>
      <c r="B349" s="3" t="s">
        <v>671</v>
      </c>
      <c r="C349" s="3" t="str">
        <f>"裕南街街道"</f>
        <v>裕南街街道</v>
      </c>
      <c r="D349" s="3" t="str">
        <f>"向东南社区"</f>
        <v>向东南社区</v>
      </c>
      <c r="E349" s="3" t="str">
        <f t="shared" si="130"/>
        <v>140</v>
      </c>
      <c r="F349" s="3" t="str">
        <f t="shared" si="136"/>
        <v>100</v>
      </c>
      <c r="G349" s="3" t="str">
        <f t="shared" si="140"/>
        <v>二级</v>
      </c>
    </row>
    <row r="350" customHeight="1" spans="1:7">
      <c r="A350" s="3" t="str">
        <f>"2749"</f>
        <v>2749</v>
      </c>
      <c r="B350" s="3" t="s">
        <v>1877</v>
      </c>
      <c r="C350" s="3" t="str">
        <f t="shared" ref="C350:C353" si="141">"坡子街街道"</f>
        <v>坡子街街道</v>
      </c>
      <c r="D350" s="3" t="str">
        <f t="shared" ref="D350:D353" si="142">"登仁桥社区"</f>
        <v>登仁桥社区</v>
      </c>
      <c r="E350" s="3" t="str">
        <f t="shared" si="130"/>
        <v>140</v>
      </c>
      <c r="F350" s="3" t="str">
        <f t="shared" ref="F350:F353" si="143">"0"</f>
        <v>0</v>
      </c>
      <c r="G350" s="3" t="str">
        <f>"三级"</f>
        <v>三级</v>
      </c>
    </row>
    <row r="351" customHeight="1" spans="1:7">
      <c r="A351" s="3" t="str">
        <f>"2750"</f>
        <v>2750</v>
      </c>
      <c r="B351" s="3" t="s">
        <v>139</v>
      </c>
      <c r="C351" s="3" t="str">
        <f t="shared" si="141"/>
        <v>坡子街街道</v>
      </c>
      <c r="D351" s="3" t="str">
        <f t="shared" si="142"/>
        <v>登仁桥社区</v>
      </c>
      <c r="E351" s="3" t="str">
        <f t="shared" si="130"/>
        <v>140</v>
      </c>
      <c r="F351" s="3" t="str">
        <f t="shared" si="143"/>
        <v>0</v>
      </c>
      <c r="G351" s="3" t="str">
        <f>"四级"</f>
        <v>四级</v>
      </c>
    </row>
    <row r="352" customHeight="1" spans="1:7">
      <c r="A352" s="3" t="str">
        <f>"2751"</f>
        <v>2751</v>
      </c>
      <c r="B352" s="3" t="s">
        <v>1419</v>
      </c>
      <c r="C352" s="3" t="str">
        <f>"黑石铺街道"</f>
        <v>黑石铺街道</v>
      </c>
      <c r="D352" s="3" t="str">
        <f>"铭安社区"</f>
        <v>铭安社区</v>
      </c>
      <c r="E352" s="3" t="str">
        <f t="shared" si="130"/>
        <v>140</v>
      </c>
      <c r="F352" s="3" t="str">
        <f t="shared" ref="F352:F358" si="144">"100"</f>
        <v>100</v>
      </c>
      <c r="G352" s="3" t="str">
        <f>"一级"</f>
        <v>一级</v>
      </c>
    </row>
    <row r="353" customHeight="1" spans="1:7">
      <c r="A353" s="3" t="str">
        <f>"2752"</f>
        <v>2752</v>
      </c>
      <c r="B353" s="3" t="s">
        <v>872</v>
      </c>
      <c r="C353" s="3" t="str">
        <f t="shared" si="141"/>
        <v>坡子街街道</v>
      </c>
      <c r="D353" s="3" t="str">
        <f t="shared" si="142"/>
        <v>登仁桥社区</v>
      </c>
      <c r="E353" s="3" t="str">
        <f t="shared" si="130"/>
        <v>140</v>
      </c>
      <c r="F353" s="3" t="str">
        <f t="shared" si="143"/>
        <v>0</v>
      </c>
      <c r="G353" s="3" t="str">
        <f>"三级"</f>
        <v>三级</v>
      </c>
    </row>
    <row r="354" customHeight="1" spans="1:7">
      <c r="A354" s="3" t="str">
        <f>"2753"</f>
        <v>2753</v>
      </c>
      <c r="B354" s="3" t="s">
        <v>76</v>
      </c>
      <c r="C354" s="3" t="str">
        <f>"金盆岭街道"</f>
        <v>金盆岭街道</v>
      </c>
      <c r="D354" s="3" t="str">
        <f>"黄土岭社区"</f>
        <v>黄土岭社区</v>
      </c>
      <c r="E354" s="3" t="str">
        <f t="shared" si="130"/>
        <v>140</v>
      </c>
      <c r="F354" s="3" t="str">
        <f t="shared" si="144"/>
        <v>100</v>
      </c>
      <c r="G354" s="3" t="str">
        <f t="shared" ref="G354:G358" si="145">"二级"</f>
        <v>二级</v>
      </c>
    </row>
    <row r="355" customHeight="1" spans="1:7">
      <c r="A355" s="3" t="str">
        <f>"2754"</f>
        <v>2754</v>
      </c>
      <c r="B355" s="3" t="s">
        <v>1878</v>
      </c>
      <c r="C355" s="3" t="str">
        <f>"新开铺街道"</f>
        <v>新开铺街道</v>
      </c>
      <c r="D355" s="3" t="str">
        <f>"新天社区"</f>
        <v>新天社区</v>
      </c>
      <c r="E355" s="3" t="str">
        <f t="shared" si="130"/>
        <v>140</v>
      </c>
      <c r="F355" s="3" t="str">
        <f t="shared" ref="F355:F364" si="146">"0"</f>
        <v>0</v>
      </c>
      <c r="G355" s="3" t="str">
        <f>"四级"</f>
        <v>四级</v>
      </c>
    </row>
    <row r="356" customHeight="1" spans="1:7">
      <c r="A356" s="3" t="str">
        <f>"2755"</f>
        <v>2755</v>
      </c>
      <c r="B356" s="3" t="s">
        <v>1879</v>
      </c>
      <c r="C356" s="3" t="str">
        <f>"裕南街街道"</f>
        <v>裕南街街道</v>
      </c>
      <c r="D356" s="3" t="str">
        <f>"东瓜山社区"</f>
        <v>东瓜山社区</v>
      </c>
      <c r="E356" s="3" t="str">
        <f t="shared" si="130"/>
        <v>140</v>
      </c>
      <c r="F356" s="3" t="str">
        <f t="shared" si="144"/>
        <v>100</v>
      </c>
      <c r="G356" s="3" t="str">
        <f t="shared" si="145"/>
        <v>二级</v>
      </c>
    </row>
    <row r="357" customHeight="1" spans="1:7">
      <c r="A357" s="3" t="str">
        <f>"2756"</f>
        <v>2756</v>
      </c>
      <c r="B357" s="3" t="s">
        <v>1880</v>
      </c>
      <c r="C357" s="3" t="str">
        <f>"新开铺街道"</f>
        <v>新开铺街道</v>
      </c>
      <c r="D357" s="3" t="str">
        <f>"新开铺社区"</f>
        <v>新开铺社区</v>
      </c>
      <c r="E357" s="3" t="str">
        <f t="shared" si="130"/>
        <v>140</v>
      </c>
      <c r="F357" s="3" t="str">
        <f t="shared" si="144"/>
        <v>100</v>
      </c>
      <c r="G357" s="3" t="str">
        <f t="shared" si="145"/>
        <v>二级</v>
      </c>
    </row>
    <row r="358" customHeight="1" spans="1:7">
      <c r="A358" s="3" t="str">
        <f>"2757"</f>
        <v>2757</v>
      </c>
      <c r="B358" s="3" t="s">
        <v>260</v>
      </c>
      <c r="C358" s="3" t="str">
        <f t="shared" ref="C358:C362" si="147">"坡子街街道"</f>
        <v>坡子街街道</v>
      </c>
      <c r="D358" s="3" t="str">
        <f>"登仁桥社区"</f>
        <v>登仁桥社区</v>
      </c>
      <c r="E358" s="3" t="str">
        <f t="shared" si="130"/>
        <v>140</v>
      </c>
      <c r="F358" s="3" t="str">
        <f t="shared" si="144"/>
        <v>100</v>
      </c>
      <c r="G358" s="3" t="str">
        <f t="shared" si="145"/>
        <v>二级</v>
      </c>
    </row>
    <row r="359" customHeight="1" spans="1:7">
      <c r="A359" s="3" t="str">
        <f>"2758"</f>
        <v>2758</v>
      </c>
      <c r="B359" s="3" t="s">
        <v>1823</v>
      </c>
      <c r="C359" s="3" t="str">
        <f t="shared" si="147"/>
        <v>坡子街街道</v>
      </c>
      <c r="D359" s="3" t="str">
        <f>"登仁桥社区"</f>
        <v>登仁桥社区</v>
      </c>
      <c r="E359" s="3" t="str">
        <f t="shared" si="130"/>
        <v>140</v>
      </c>
      <c r="F359" s="3" t="str">
        <f t="shared" si="146"/>
        <v>0</v>
      </c>
      <c r="G359" s="3" t="str">
        <f t="shared" ref="G359:G361" si="148">"三级"</f>
        <v>三级</v>
      </c>
    </row>
    <row r="360" customHeight="1" spans="1:7">
      <c r="A360" s="3" t="str">
        <f>"2759"</f>
        <v>2759</v>
      </c>
      <c r="B360" s="3" t="s">
        <v>1881</v>
      </c>
      <c r="C360" s="3" t="str">
        <f>"赤岭路街道"</f>
        <v>赤岭路街道</v>
      </c>
      <c r="D360" s="3" t="str">
        <f>"白沙花园社区"</f>
        <v>白沙花园社区</v>
      </c>
      <c r="E360" s="3" t="str">
        <f t="shared" si="130"/>
        <v>140</v>
      </c>
      <c r="F360" s="3" t="str">
        <f t="shared" si="146"/>
        <v>0</v>
      </c>
      <c r="G360" s="3" t="str">
        <f t="shared" si="148"/>
        <v>三级</v>
      </c>
    </row>
    <row r="361" customHeight="1" spans="1:7">
      <c r="A361" s="3" t="str">
        <f>"2760"</f>
        <v>2760</v>
      </c>
      <c r="B361" s="3" t="s">
        <v>1882</v>
      </c>
      <c r="C361" s="3" t="str">
        <f>"裕南街街道"</f>
        <v>裕南街街道</v>
      </c>
      <c r="D361" s="3" t="str">
        <f>"向东南社区"</f>
        <v>向东南社区</v>
      </c>
      <c r="E361" s="3" t="str">
        <f t="shared" si="130"/>
        <v>140</v>
      </c>
      <c r="F361" s="3" t="str">
        <f t="shared" si="146"/>
        <v>0</v>
      </c>
      <c r="G361" s="3" t="str">
        <f t="shared" si="148"/>
        <v>三级</v>
      </c>
    </row>
    <row r="362" customHeight="1" spans="1:7">
      <c r="A362" s="3" t="str">
        <f>"2761"</f>
        <v>2761</v>
      </c>
      <c r="B362" s="3" t="s">
        <v>1883</v>
      </c>
      <c r="C362" s="3" t="str">
        <f t="shared" si="147"/>
        <v>坡子街街道</v>
      </c>
      <c r="D362" s="3" t="str">
        <f>"创远社区"</f>
        <v>创远社区</v>
      </c>
      <c r="E362" s="3" t="str">
        <f t="shared" si="130"/>
        <v>140</v>
      </c>
      <c r="F362" s="3" t="str">
        <f t="shared" si="146"/>
        <v>0</v>
      </c>
      <c r="G362" s="3" t="str">
        <f>"四级"</f>
        <v>四级</v>
      </c>
    </row>
    <row r="363" customHeight="1" spans="1:7">
      <c r="A363" s="3" t="str">
        <f>"2762"</f>
        <v>2762</v>
      </c>
      <c r="B363" s="3" t="s">
        <v>1884</v>
      </c>
      <c r="C363" s="3" t="str">
        <f>"暮云街道"</f>
        <v>暮云街道</v>
      </c>
      <c r="D363" s="3" t="str">
        <f>"暮云新村"</f>
        <v>暮云新村</v>
      </c>
      <c r="E363" s="3" t="str">
        <f t="shared" si="130"/>
        <v>140</v>
      </c>
      <c r="F363" s="3" t="str">
        <f t="shared" si="146"/>
        <v>0</v>
      </c>
      <c r="G363" s="3" t="str">
        <f t="shared" ref="G363:G368" si="149">"三级"</f>
        <v>三级</v>
      </c>
    </row>
    <row r="364" customHeight="1" spans="1:7">
      <c r="A364" s="3" t="str">
        <f>"2763"</f>
        <v>2763</v>
      </c>
      <c r="B364" s="3" t="s">
        <v>1885</v>
      </c>
      <c r="C364" s="3" t="str">
        <f>"暮云街道"</f>
        <v>暮云街道</v>
      </c>
      <c r="D364" s="3" t="str">
        <f>"暮云新村"</f>
        <v>暮云新村</v>
      </c>
      <c r="E364" s="3" t="str">
        <f t="shared" si="130"/>
        <v>140</v>
      </c>
      <c r="F364" s="3" t="str">
        <f t="shared" si="146"/>
        <v>0</v>
      </c>
      <c r="G364" s="3" t="str">
        <f t="shared" si="149"/>
        <v>三级</v>
      </c>
    </row>
    <row r="365" customHeight="1" spans="1:7">
      <c r="A365" s="3" t="str">
        <f>"2764"</f>
        <v>2764</v>
      </c>
      <c r="B365" s="3" t="s">
        <v>445</v>
      </c>
      <c r="C365" s="3" t="str">
        <f>"先锋街道"</f>
        <v>先锋街道</v>
      </c>
      <c r="D365" s="3" t="str">
        <f>"嘉和社区"</f>
        <v>嘉和社区</v>
      </c>
      <c r="E365" s="3" t="str">
        <f t="shared" si="130"/>
        <v>140</v>
      </c>
      <c r="F365" s="3" t="str">
        <f t="shared" ref="F365:F367" si="150">"100"</f>
        <v>100</v>
      </c>
      <c r="G365" s="3" t="str">
        <f t="shared" ref="G365:G371" si="151">"二级"</f>
        <v>二级</v>
      </c>
    </row>
    <row r="366" customHeight="1" spans="1:7">
      <c r="A366" s="3" t="str">
        <f>"2765"</f>
        <v>2765</v>
      </c>
      <c r="B366" s="3" t="s">
        <v>1886</v>
      </c>
      <c r="C366" s="3" t="str">
        <f t="shared" ref="C366:C370" si="152">"裕南街街道"</f>
        <v>裕南街街道</v>
      </c>
      <c r="D366" s="3" t="str">
        <f t="shared" ref="D366:D370" si="153">"南站社区"</f>
        <v>南站社区</v>
      </c>
      <c r="E366" s="3" t="str">
        <f t="shared" si="130"/>
        <v>140</v>
      </c>
      <c r="F366" s="3" t="str">
        <f t="shared" si="150"/>
        <v>100</v>
      </c>
      <c r="G366" s="3" t="str">
        <f>"一级"</f>
        <v>一级</v>
      </c>
    </row>
    <row r="367" customHeight="1" spans="1:7">
      <c r="A367" s="3" t="str">
        <f>"2766"</f>
        <v>2766</v>
      </c>
      <c r="B367" s="3" t="s">
        <v>845</v>
      </c>
      <c r="C367" s="3" t="str">
        <f t="shared" si="152"/>
        <v>裕南街街道</v>
      </c>
      <c r="D367" s="3" t="str">
        <f>"东瓜山社区"</f>
        <v>东瓜山社区</v>
      </c>
      <c r="E367" s="3" t="str">
        <f t="shared" si="130"/>
        <v>140</v>
      </c>
      <c r="F367" s="3" t="str">
        <f t="shared" si="150"/>
        <v>100</v>
      </c>
      <c r="G367" s="3" t="str">
        <f t="shared" si="151"/>
        <v>二级</v>
      </c>
    </row>
    <row r="368" customHeight="1" spans="1:7">
      <c r="A368" s="3" t="str">
        <f>"2767"</f>
        <v>2767</v>
      </c>
      <c r="B368" s="3" t="s">
        <v>1887</v>
      </c>
      <c r="C368" s="3" t="str">
        <f>"桂花坪街道"</f>
        <v>桂花坪街道</v>
      </c>
      <c r="D368" s="3" t="str">
        <f>"桂庄社区"</f>
        <v>桂庄社区</v>
      </c>
      <c r="E368" s="3" t="str">
        <f t="shared" si="130"/>
        <v>140</v>
      </c>
      <c r="F368" s="3" t="str">
        <f>"0"</f>
        <v>0</v>
      </c>
      <c r="G368" s="3" t="str">
        <f t="shared" si="149"/>
        <v>三级</v>
      </c>
    </row>
    <row r="369" customHeight="1" spans="1:7">
      <c r="A369" s="3" t="str">
        <f>"2768"</f>
        <v>2768</v>
      </c>
      <c r="B369" s="3" t="s">
        <v>1888</v>
      </c>
      <c r="C369" s="3" t="str">
        <f t="shared" si="152"/>
        <v>裕南街街道</v>
      </c>
      <c r="D369" s="3" t="str">
        <f t="shared" si="153"/>
        <v>南站社区</v>
      </c>
      <c r="E369" s="3" t="str">
        <f t="shared" si="130"/>
        <v>140</v>
      </c>
      <c r="F369" s="3" t="str">
        <f>"0"</f>
        <v>0</v>
      </c>
      <c r="G369" s="3" t="str">
        <f>"四级"</f>
        <v>四级</v>
      </c>
    </row>
    <row r="370" customHeight="1" spans="1:7">
      <c r="A370" s="3" t="str">
        <f>"2769"</f>
        <v>2769</v>
      </c>
      <c r="B370" s="3" t="s">
        <v>266</v>
      </c>
      <c r="C370" s="3" t="str">
        <f t="shared" si="152"/>
        <v>裕南街街道</v>
      </c>
      <c r="D370" s="3" t="str">
        <f t="shared" si="153"/>
        <v>南站社区</v>
      </c>
      <c r="E370" s="3" t="str">
        <f t="shared" si="130"/>
        <v>140</v>
      </c>
      <c r="F370" s="3" t="str">
        <f t="shared" ref="F370:F376" si="154">"100"</f>
        <v>100</v>
      </c>
      <c r="G370" s="3" t="str">
        <f t="shared" si="151"/>
        <v>二级</v>
      </c>
    </row>
    <row r="371" customHeight="1" spans="1:7">
      <c r="A371" s="3" t="str">
        <f>"2770"</f>
        <v>2770</v>
      </c>
      <c r="B371" s="3" t="s">
        <v>1889</v>
      </c>
      <c r="C371" s="3" t="str">
        <f>"城南路街道"</f>
        <v>城南路街道</v>
      </c>
      <c r="D371" s="3" t="str">
        <f>"吴家坪社区"</f>
        <v>吴家坪社区</v>
      </c>
      <c r="E371" s="3" t="str">
        <f t="shared" si="130"/>
        <v>140</v>
      </c>
      <c r="F371" s="3" t="str">
        <f t="shared" si="154"/>
        <v>100</v>
      </c>
      <c r="G371" s="3" t="str">
        <f t="shared" si="151"/>
        <v>二级</v>
      </c>
    </row>
    <row r="372" customHeight="1" spans="1:7">
      <c r="A372" s="3" t="str">
        <f>"2771"</f>
        <v>2771</v>
      </c>
      <c r="B372" s="3" t="s">
        <v>76</v>
      </c>
      <c r="C372" s="3" t="str">
        <f>"暮云街道"</f>
        <v>暮云街道</v>
      </c>
      <c r="D372" s="3" t="str">
        <f>"云塘社区"</f>
        <v>云塘社区</v>
      </c>
      <c r="E372" s="3" t="str">
        <f t="shared" si="130"/>
        <v>140</v>
      </c>
      <c r="F372" s="3" t="str">
        <f t="shared" si="154"/>
        <v>100</v>
      </c>
      <c r="G372" s="3" t="str">
        <f>"一级"</f>
        <v>一级</v>
      </c>
    </row>
    <row r="373" customHeight="1" spans="1:7">
      <c r="A373" s="3" t="str">
        <f>"2772"</f>
        <v>2772</v>
      </c>
      <c r="B373" s="3" t="s">
        <v>1890</v>
      </c>
      <c r="C373" s="3" t="str">
        <f>"裕南街街道"</f>
        <v>裕南街街道</v>
      </c>
      <c r="D373" s="3" t="str">
        <f>"杏花园社区"</f>
        <v>杏花园社区</v>
      </c>
      <c r="E373" s="3" t="str">
        <f t="shared" si="130"/>
        <v>140</v>
      </c>
      <c r="F373" s="3" t="str">
        <f t="shared" si="154"/>
        <v>100</v>
      </c>
      <c r="G373" s="3" t="str">
        <f t="shared" ref="G373:G376" si="155">"二级"</f>
        <v>二级</v>
      </c>
    </row>
    <row r="374" customHeight="1" spans="1:7">
      <c r="A374" s="3" t="str">
        <f>"2773"</f>
        <v>2773</v>
      </c>
      <c r="B374" s="3" t="s">
        <v>1891</v>
      </c>
      <c r="C374" s="3" t="str">
        <f>"大托铺街道"</f>
        <v>大托铺街道</v>
      </c>
      <c r="D374" s="3" t="str">
        <f>"新港村委会"</f>
        <v>新港村委会</v>
      </c>
      <c r="E374" s="3" t="str">
        <f t="shared" si="130"/>
        <v>140</v>
      </c>
      <c r="F374" s="3" t="str">
        <f t="shared" si="154"/>
        <v>100</v>
      </c>
      <c r="G374" s="3" t="str">
        <f t="shared" si="155"/>
        <v>二级</v>
      </c>
    </row>
    <row r="375" customHeight="1" spans="1:7">
      <c r="A375" s="3" t="str">
        <f>"2774"</f>
        <v>2774</v>
      </c>
      <c r="B375" s="3" t="s">
        <v>1892</v>
      </c>
      <c r="C375" s="3" t="str">
        <f>"坡子街街道"</f>
        <v>坡子街街道</v>
      </c>
      <c r="D375" s="3" t="str">
        <f>"青山祠社区"</f>
        <v>青山祠社区</v>
      </c>
      <c r="E375" s="3" t="str">
        <f t="shared" si="130"/>
        <v>140</v>
      </c>
      <c r="F375" s="3" t="str">
        <f t="shared" si="154"/>
        <v>100</v>
      </c>
      <c r="G375" s="3" t="str">
        <f t="shared" si="155"/>
        <v>二级</v>
      </c>
    </row>
    <row r="376" customHeight="1" spans="1:7">
      <c r="A376" s="3" t="str">
        <f>"2775"</f>
        <v>2775</v>
      </c>
      <c r="B376" s="3" t="s">
        <v>1893</v>
      </c>
      <c r="C376" s="3" t="str">
        <f>"青园街道"</f>
        <v>青园街道</v>
      </c>
      <c r="D376" s="3" t="str">
        <f>"青园社区"</f>
        <v>青园社区</v>
      </c>
      <c r="E376" s="3" t="str">
        <f t="shared" si="130"/>
        <v>140</v>
      </c>
      <c r="F376" s="3" t="str">
        <f t="shared" si="154"/>
        <v>100</v>
      </c>
      <c r="G376" s="3" t="str">
        <f t="shared" si="155"/>
        <v>二级</v>
      </c>
    </row>
    <row r="377" customHeight="1" spans="1:7">
      <c r="A377" s="3" t="str">
        <f>"2776"</f>
        <v>2776</v>
      </c>
      <c r="B377" s="3" t="s">
        <v>293</v>
      </c>
      <c r="C377" s="3" t="str">
        <f>"暮云街道"</f>
        <v>暮云街道</v>
      </c>
      <c r="D377" s="3" t="str">
        <f>"莲华村"</f>
        <v>莲华村</v>
      </c>
      <c r="E377" s="3" t="str">
        <f t="shared" si="130"/>
        <v>140</v>
      </c>
      <c r="F377" s="3" t="str">
        <f t="shared" ref="F377:F382" si="156">"0"</f>
        <v>0</v>
      </c>
      <c r="G377" s="3" t="str">
        <f>"三级"</f>
        <v>三级</v>
      </c>
    </row>
    <row r="378" customHeight="1" spans="1:7">
      <c r="A378" s="3" t="str">
        <f>"2777"</f>
        <v>2777</v>
      </c>
      <c r="B378" s="3" t="s">
        <v>1894</v>
      </c>
      <c r="C378" s="3" t="str">
        <f>"坡子街街道"</f>
        <v>坡子街街道</v>
      </c>
      <c r="D378" s="3" t="str">
        <f>"坡子街社区"</f>
        <v>坡子街社区</v>
      </c>
      <c r="E378" s="3" t="str">
        <f t="shared" si="130"/>
        <v>140</v>
      </c>
      <c r="F378" s="3" t="str">
        <f t="shared" ref="F378:F381" si="157">"100"</f>
        <v>100</v>
      </c>
      <c r="G378" s="3" t="str">
        <f t="shared" ref="G378:G381" si="158">"二级"</f>
        <v>二级</v>
      </c>
    </row>
    <row r="379" customHeight="1" spans="1:7">
      <c r="A379" s="3" t="str">
        <f>"2778"</f>
        <v>2778</v>
      </c>
      <c r="B379" s="3" t="s">
        <v>461</v>
      </c>
      <c r="C379" s="3" t="str">
        <f t="shared" ref="C379:C384" si="159">"裕南街街道"</f>
        <v>裕南街街道</v>
      </c>
      <c r="D379" s="3" t="str">
        <f>"石子冲社区"</f>
        <v>石子冲社区</v>
      </c>
      <c r="E379" s="3" t="str">
        <f t="shared" si="130"/>
        <v>140</v>
      </c>
      <c r="F379" s="3" t="str">
        <f t="shared" si="156"/>
        <v>0</v>
      </c>
      <c r="G379" s="3" t="str">
        <f>"四级"</f>
        <v>四级</v>
      </c>
    </row>
    <row r="380" customHeight="1" spans="1:7">
      <c r="A380" s="3" t="str">
        <f>"2779"</f>
        <v>2779</v>
      </c>
      <c r="B380" s="3" t="s">
        <v>877</v>
      </c>
      <c r="C380" s="3" t="str">
        <f>"青园街道"</f>
        <v>青园街道</v>
      </c>
      <c r="D380" s="3" t="str">
        <f>"友谊社区"</f>
        <v>友谊社区</v>
      </c>
      <c r="E380" s="3" t="str">
        <f t="shared" si="130"/>
        <v>140</v>
      </c>
      <c r="F380" s="3" t="str">
        <f t="shared" si="157"/>
        <v>100</v>
      </c>
      <c r="G380" s="3" t="str">
        <f t="shared" si="158"/>
        <v>二级</v>
      </c>
    </row>
    <row r="381" customHeight="1" spans="1:7">
      <c r="A381" s="3" t="str">
        <f>"2780"</f>
        <v>2780</v>
      </c>
      <c r="B381" s="3" t="s">
        <v>1895</v>
      </c>
      <c r="C381" s="3" t="str">
        <f>"黑石铺街道"</f>
        <v>黑石铺街道</v>
      </c>
      <c r="D381" s="3" t="str">
        <f>"披塘村委会"</f>
        <v>披塘村委会</v>
      </c>
      <c r="E381" s="3" t="str">
        <f t="shared" si="130"/>
        <v>140</v>
      </c>
      <c r="F381" s="3" t="str">
        <f t="shared" si="157"/>
        <v>100</v>
      </c>
      <c r="G381" s="3" t="str">
        <f t="shared" si="158"/>
        <v>二级</v>
      </c>
    </row>
    <row r="382" customHeight="1" spans="1:7">
      <c r="A382" s="3" t="str">
        <f>"2781"</f>
        <v>2781</v>
      </c>
      <c r="B382" s="3" t="s">
        <v>1896</v>
      </c>
      <c r="C382" s="3" t="str">
        <f t="shared" si="159"/>
        <v>裕南街街道</v>
      </c>
      <c r="D382" s="3" t="str">
        <f>"碧沙湖社区"</f>
        <v>碧沙湖社区</v>
      </c>
      <c r="E382" s="3" t="str">
        <f t="shared" si="130"/>
        <v>140</v>
      </c>
      <c r="F382" s="3" t="str">
        <f t="shared" si="156"/>
        <v>0</v>
      </c>
      <c r="G382" s="3" t="str">
        <f>"四级"</f>
        <v>四级</v>
      </c>
    </row>
    <row r="383" customHeight="1" spans="1:7">
      <c r="A383" s="3" t="str">
        <f>"2782"</f>
        <v>2782</v>
      </c>
      <c r="B383" s="3" t="s">
        <v>1729</v>
      </c>
      <c r="C383" s="3" t="str">
        <f>"城南路街道"</f>
        <v>城南路街道</v>
      </c>
      <c r="D383" s="3" t="str">
        <f>"燕子岭社区"</f>
        <v>燕子岭社区</v>
      </c>
      <c r="E383" s="3" t="str">
        <f t="shared" si="130"/>
        <v>140</v>
      </c>
      <c r="F383" s="3" t="str">
        <f t="shared" ref="F383:F387" si="160">"100"</f>
        <v>100</v>
      </c>
      <c r="G383" s="3" t="str">
        <f t="shared" ref="G383:G387" si="161">"二级"</f>
        <v>二级</v>
      </c>
    </row>
    <row r="384" customHeight="1" spans="1:7">
      <c r="A384" s="3" t="str">
        <f>"2783"</f>
        <v>2783</v>
      </c>
      <c r="B384" s="3" t="s">
        <v>1897</v>
      </c>
      <c r="C384" s="3" t="str">
        <f t="shared" si="159"/>
        <v>裕南街街道</v>
      </c>
      <c r="D384" s="3" t="str">
        <f>"长坡社区"</f>
        <v>长坡社区</v>
      </c>
      <c r="E384" s="3" t="str">
        <f t="shared" si="130"/>
        <v>140</v>
      </c>
      <c r="F384" s="3" t="str">
        <f t="shared" si="160"/>
        <v>100</v>
      </c>
      <c r="G384" s="3" t="str">
        <f>"一级"</f>
        <v>一级</v>
      </c>
    </row>
    <row r="385" customHeight="1" spans="1:7">
      <c r="A385" s="3" t="str">
        <f>"2784"</f>
        <v>2784</v>
      </c>
      <c r="B385" s="3" t="s">
        <v>1898</v>
      </c>
      <c r="C385" s="3" t="str">
        <f>"金盆岭街道"</f>
        <v>金盆岭街道</v>
      </c>
      <c r="D385" s="3" t="str">
        <f>"天剑社区"</f>
        <v>天剑社区</v>
      </c>
      <c r="E385" s="3" t="str">
        <f t="shared" si="130"/>
        <v>140</v>
      </c>
      <c r="F385" s="3" t="str">
        <f>"0"</f>
        <v>0</v>
      </c>
      <c r="G385" s="3" t="str">
        <f>"三级"</f>
        <v>三级</v>
      </c>
    </row>
    <row r="386" customHeight="1" spans="1:7">
      <c r="A386" s="3" t="str">
        <f>"2785"</f>
        <v>2785</v>
      </c>
      <c r="B386" s="3" t="s">
        <v>1899</v>
      </c>
      <c r="C386" s="3" t="str">
        <f>"桂花坪街道"</f>
        <v>桂花坪街道</v>
      </c>
      <c r="D386" s="3" t="str">
        <f>"新园社区"</f>
        <v>新园社区</v>
      </c>
      <c r="E386" s="3" t="str">
        <f t="shared" ref="E386:E449" si="162">"140"</f>
        <v>140</v>
      </c>
      <c r="F386" s="3" t="str">
        <f t="shared" si="160"/>
        <v>100</v>
      </c>
      <c r="G386" s="3" t="str">
        <f t="shared" si="161"/>
        <v>二级</v>
      </c>
    </row>
    <row r="387" customHeight="1" spans="1:7">
      <c r="A387" s="3" t="str">
        <f>"2786"</f>
        <v>2786</v>
      </c>
      <c r="B387" s="3" t="s">
        <v>1182</v>
      </c>
      <c r="C387" s="3" t="str">
        <f>"新开铺街道"</f>
        <v>新开铺街道</v>
      </c>
      <c r="D387" s="3" t="str">
        <f>"木莲社区"</f>
        <v>木莲社区</v>
      </c>
      <c r="E387" s="3" t="str">
        <f t="shared" si="162"/>
        <v>140</v>
      </c>
      <c r="F387" s="3" t="str">
        <f t="shared" si="160"/>
        <v>100</v>
      </c>
      <c r="G387" s="3" t="str">
        <f t="shared" si="161"/>
        <v>二级</v>
      </c>
    </row>
    <row r="388" customHeight="1" spans="1:7">
      <c r="A388" s="3" t="str">
        <f>"2787"</f>
        <v>2787</v>
      </c>
      <c r="B388" s="3" t="s">
        <v>70</v>
      </c>
      <c r="C388" s="3" t="str">
        <f>"裕南街街道"</f>
        <v>裕南街街道</v>
      </c>
      <c r="D388" s="3" t="str">
        <f>"东瓜山社区"</f>
        <v>东瓜山社区</v>
      </c>
      <c r="E388" s="3" t="str">
        <f t="shared" si="162"/>
        <v>140</v>
      </c>
      <c r="F388" s="3" t="str">
        <f>"0"</f>
        <v>0</v>
      </c>
      <c r="G388" s="3" t="str">
        <f>"四级"</f>
        <v>四级</v>
      </c>
    </row>
    <row r="389" customHeight="1" spans="1:7">
      <c r="A389" s="3" t="str">
        <f>"2788"</f>
        <v>2788</v>
      </c>
      <c r="B389" s="3" t="s">
        <v>1900</v>
      </c>
      <c r="C389" s="3" t="str">
        <f>"裕南街街道"</f>
        <v>裕南街街道</v>
      </c>
      <c r="D389" s="3" t="str">
        <f>"石子冲社区"</f>
        <v>石子冲社区</v>
      </c>
      <c r="E389" s="3" t="str">
        <f t="shared" si="162"/>
        <v>140</v>
      </c>
      <c r="F389" s="3" t="str">
        <f t="shared" ref="F389:F398" si="163">"100"</f>
        <v>100</v>
      </c>
      <c r="G389" s="3" t="str">
        <f>"二级"</f>
        <v>二级</v>
      </c>
    </row>
    <row r="390" customHeight="1" spans="1:7">
      <c r="A390" s="3" t="str">
        <f>"2789"</f>
        <v>2789</v>
      </c>
      <c r="B390" s="3" t="s">
        <v>1901</v>
      </c>
      <c r="C390" s="3" t="str">
        <f>"暮云街道"</f>
        <v>暮云街道</v>
      </c>
      <c r="D390" s="3" t="str">
        <f>"怡海社区"</f>
        <v>怡海社区</v>
      </c>
      <c r="E390" s="3" t="str">
        <f t="shared" si="162"/>
        <v>140</v>
      </c>
      <c r="F390" s="3" t="str">
        <f t="shared" si="163"/>
        <v>100</v>
      </c>
      <c r="G390" s="3" t="str">
        <f t="shared" ref="G390:G394" si="164">"一级"</f>
        <v>一级</v>
      </c>
    </row>
    <row r="391" customHeight="1" spans="1:7">
      <c r="A391" s="3" t="str">
        <f>"2790"</f>
        <v>2790</v>
      </c>
      <c r="B391" s="3" t="s">
        <v>1902</v>
      </c>
      <c r="C391" s="3" t="str">
        <f>"城南路街道"</f>
        <v>城南路街道</v>
      </c>
      <c r="D391" s="3" t="str">
        <f>"白沙井社区"</f>
        <v>白沙井社区</v>
      </c>
      <c r="E391" s="3" t="str">
        <f t="shared" si="162"/>
        <v>140</v>
      </c>
      <c r="F391" s="3" t="str">
        <f>"0"</f>
        <v>0</v>
      </c>
      <c r="G391" s="3" t="str">
        <f>"三级"</f>
        <v>三级</v>
      </c>
    </row>
    <row r="392" customHeight="1" spans="1:7">
      <c r="A392" s="3" t="str">
        <f>"2791"</f>
        <v>2791</v>
      </c>
      <c r="B392" s="3" t="s">
        <v>1903</v>
      </c>
      <c r="C392" s="3" t="str">
        <f>"暮云街道"</f>
        <v>暮云街道</v>
      </c>
      <c r="D392" s="3" t="str">
        <f>"丽发社区"</f>
        <v>丽发社区</v>
      </c>
      <c r="E392" s="3" t="str">
        <f t="shared" si="162"/>
        <v>140</v>
      </c>
      <c r="F392" s="3" t="str">
        <f t="shared" si="163"/>
        <v>100</v>
      </c>
      <c r="G392" s="3" t="str">
        <f t="shared" si="164"/>
        <v>一级</v>
      </c>
    </row>
    <row r="393" customHeight="1" spans="1:7">
      <c r="A393" s="3" t="str">
        <f>"2792"</f>
        <v>2792</v>
      </c>
      <c r="B393" s="3" t="s">
        <v>632</v>
      </c>
      <c r="C393" s="3" t="str">
        <f>"坡子街街道"</f>
        <v>坡子街街道</v>
      </c>
      <c r="D393" s="3" t="str">
        <f>"太平街社区"</f>
        <v>太平街社区</v>
      </c>
      <c r="E393" s="3" t="str">
        <f t="shared" si="162"/>
        <v>140</v>
      </c>
      <c r="F393" s="3" t="str">
        <f t="shared" si="163"/>
        <v>100</v>
      </c>
      <c r="G393" s="3" t="str">
        <f t="shared" ref="G393:G396" si="165">"二级"</f>
        <v>二级</v>
      </c>
    </row>
    <row r="394" customHeight="1" spans="1:7">
      <c r="A394" s="3" t="str">
        <f>"2793"</f>
        <v>2793</v>
      </c>
      <c r="B394" s="3" t="s">
        <v>70</v>
      </c>
      <c r="C394" s="3" t="str">
        <f>"赤岭路街道"</f>
        <v>赤岭路街道</v>
      </c>
      <c r="D394" s="3" t="str">
        <f>"南大桥社区"</f>
        <v>南大桥社区</v>
      </c>
      <c r="E394" s="3" t="str">
        <f t="shared" si="162"/>
        <v>140</v>
      </c>
      <c r="F394" s="3" t="str">
        <f t="shared" si="163"/>
        <v>100</v>
      </c>
      <c r="G394" s="3" t="str">
        <f t="shared" si="164"/>
        <v>一级</v>
      </c>
    </row>
    <row r="395" customHeight="1" spans="1:7">
      <c r="A395" s="3" t="str">
        <f>"2794"</f>
        <v>2794</v>
      </c>
      <c r="B395" s="3" t="s">
        <v>1904</v>
      </c>
      <c r="C395" s="3" t="str">
        <f>"金盆岭街道"</f>
        <v>金盆岭街道</v>
      </c>
      <c r="D395" s="3" t="str">
        <f>"赤岭路社区"</f>
        <v>赤岭路社区</v>
      </c>
      <c r="E395" s="3" t="str">
        <f t="shared" si="162"/>
        <v>140</v>
      </c>
      <c r="F395" s="3" t="str">
        <f t="shared" si="163"/>
        <v>100</v>
      </c>
      <c r="G395" s="3" t="str">
        <f t="shared" si="165"/>
        <v>二级</v>
      </c>
    </row>
    <row r="396" customHeight="1" spans="1:7">
      <c r="A396" s="3" t="str">
        <f>"2795"</f>
        <v>2795</v>
      </c>
      <c r="B396" s="3" t="s">
        <v>1905</v>
      </c>
      <c r="C396" s="3" t="str">
        <f>"黑石铺街道"</f>
        <v>黑石铺街道</v>
      </c>
      <c r="D396" s="3" t="str">
        <f>"一力社区"</f>
        <v>一力社区</v>
      </c>
      <c r="E396" s="3" t="str">
        <f t="shared" si="162"/>
        <v>140</v>
      </c>
      <c r="F396" s="3" t="str">
        <f t="shared" si="163"/>
        <v>100</v>
      </c>
      <c r="G396" s="3" t="str">
        <f t="shared" si="165"/>
        <v>二级</v>
      </c>
    </row>
    <row r="397" customHeight="1" spans="1:7">
      <c r="A397" s="3" t="str">
        <f>"2796"</f>
        <v>2796</v>
      </c>
      <c r="B397" s="3" t="s">
        <v>1906</v>
      </c>
      <c r="C397" s="3" t="str">
        <f>"新开铺街道"</f>
        <v>新开铺街道</v>
      </c>
      <c r="D397" s="3" t="str">
        <f>"木莲社区"</f>
        <v>木莲社区</v>
      </c>
      <c r="E397" s="3" t="str">
        <f t="shared" si="162"/>
        <v>140</v>
      </c>
      <c r="F397" s="3" t="str">
        <f t="shared" si="163"/>
        <v>100</v>
      </c>
      <c r="G397" s="3" t="str">
        <f>"一级"</f>
        <v>一级</v>
      </c>
    </row>
    <row r="398" customHeight="1" spans="1:7">
      <c r="A398" s="3" t="str">
        <f>"2797"</f>
        <v>2797</v>
      </c>
      <c r="B398" s="3" t="s">
        <v>1907</v>
      </c>
      <c r="C398" s="3" t="str">
        <f>"裕南街街道"</f>
        <v>裕南街街道</v>
      </c>
      <c r="D398" s="3" t="str">
        <f>"宝塔山社区"</f>
        <v>宝塔山社区</v>
      </c>
      <c r="E398" s="3" t="str">
        <f t="shared" si="162"/>
        <v>140</v>
      </c>
      <c r="F398" s="3" t="str">
        <f t="shared" si="163"/>
        <v>100</v>
      </c>
      <c r="G398" s="3" t="str">
        <f t="shared" ref="G398:G410" si="166">"二级"</f>
        <v>二级</v>
      </c>
    </row>
    <row r="399" customHeight="1" spans="1:7">
      <c r="A399" s="3" t="str">
        <f>"2798"</f>
        <v>2798</v>
      </c>
      <c r="B399" s="3" t="s">
        <v>1908</v>
      </c>
      <c r="C399" s="3" t="str">
        <f>"坡子街街道"</f>
        <v>坡子街街道</v>
      </c>
      <c r="D399" s="3" t="str">
        <f>"坡子街社区"</f>
        <v>坡子街社区</v>
      </c>
      <c r="E399" s="3" t="str">
        <f t="shared" si="162"/>
        <v>140</v>
      </c>
      <c r="F399" s="3" t="str">
        <f>"0"</f>
        <v>0</v>
      </c>
      <c r="G399" s="3" t="str">
        <f>"四级"</f>
        <v>四级</v>
      </c>
    </row>
    <row r="400" customHeight="1" spans="1:7">
      <c r="A400" s="3" t="str">
        <f>"2799"</f>
        <v>2799</v>
      </c>
      <c r="B400" s="3" t="s">
        <v>1909</v>
      </c>
      <c r="C400" s="3" t="str">
        <f>"桂花坪街道"</f>
        <v>桂花坪街道</v>
      </c>
      <c r="D400" s="3" t="str">
        <f>"金桂社区"</f>
        <v>金桂社区</v>
      </c>
      <c r="E400" s="3" t="str">
        <f t="shared" si="162"/>
        <v>140</v>
      </c>
      <c r="F400" s="3" t="str">
        <f t="shared" ref="F400:F416" si="167">"100"</f>
        <v>100</v>
      </c>
      <c r="G400" s="3" t="str">
        <f t="shared" si="166"/>
        <v>二级</v>
      </c>
    </row>
    <row r="401" customHeight="1" spans="1:7">
      <c r="A401" s="3" t="str">
        <f>"2800"</f>
        <v>2800</v>
      </c>
      <c r="B401" s="3" t="s">
        <v>1910</v>
      </c>
      <c r="C401" s="3" t="str">
        <f t="shared" ref="C401:C404" si="168">"黑石铺街道"</f>
        <v>黑石铺街道</v>
      </c>
      <c r="D401" s="3" t="str">
        <f t="shared" ref="D401:D404" si="169">"黑石铺社区"</f>
        <v>黑石铺社区</v>
      </c>
      <c r="E401" s="3" t="str">
        <f t="shared" si="162"/>
        <v>140</v>
      </c>
      <c r="F401" s="3" t="str">
        <f t="shared" si="167"/>
        <v>100</v>
      </c>
      <c r="G401" s="3" t="str">
        <f t="shared" si="166"/>
        <v>二级</v>
      </c>
    </row>
    <row r="402" customHeight="1" spans="1:7">
      <c r="A402" s="3" t="str">
        <f>"2801"</f>
        <v>2801</v>
      </c>
      <c r="B402" s="3" t="s">
        <v>1911</v>
      </c>
      <c r="C402" s="3" t="str">
        <f>"赤岭路街道"</f>
        <v>赤岭路街道</v>
      </c>
      <c r="D402" s="3" t="str">
        <f>"白沙花园社区"</f>
        <v>白沙花园社区</v>
      </c>
      <c r="E402" s="3" t="str">
        <f t="shared" si="162"/>
        <v>140</v>
      </c>
      <c r="F402" s="3" t="str">
        <f t="shared" si="167"/>
        <v>100</v>
      </c>
      <c r="G402" s="3" t="str">
        <f t="shared" si="166"/>
        <v>二级</v>
      </c>
    </row>
    <row r="403" customHeight="1" spans="1:7">
      <c r="A403" s="3" t="str">
        <f>"2802"</f>
        <v>2802</v>
      </c>
      <c r="B403" s="3" t="s">
        <v>80</v>
      </c>
      <c r="C403" s="3" t="str">
        <f t="shared" si="168"/>
        <v>黑石铺街道</v>
      </c>
      <c r="D403" s="3" t="str">
        <f t="shared" si="169"/>
        <v>黑石铺社区</v>
      </c>
      <c r="E403" s="3" t="str">
        <f t="shared" si="162"/>
        <v>140</v>
      </c>
      <c r="F403" s="3" t="str">
        <f t="shared" si="167"/>
        <v>100</v>
      </c>
      <c r="G403" s="3" t="str">
        <f t="shared" si="166"/>
        <v>二级</v>
      </c>
    </row>
    <row r="404" customHeight="1" spans="1:7">
      <c r="A404" s="3" t="str">
        <f>"2803"</f>
        <v>2803</v>
      </c>
      <c r="B404" s="3" t="s">
        <v>1631</v>
      </c>
      <c r="C404" s="3" t="str">
        <f t="shared" si="168"/>
        <v>黑石铺街道</v>
      </c>
      <c r="D404" s="3" t="str">
        <f t="shared" si="169"/>
        <v>黑石铺社区</v>
      </c>
      <c r="E404" s="3" t="str">
        <f t="shared" si="162"/>
        <v>140</v>
      </c>
      <c r="F404" s="3" t="str">
        <f t="shared" si="167"/>
        <v>100</v>
      </c>
      <c r="G404" s="3" t="str">
        <f t="shared" si="166"/>
        <v>二级</v>
      </c>
    </row>
    <row r="405" customHeight="1" spans="1:7">
      <c r="A405" s="3" t="str">
        <f>"2804"</f>
        <v>2804</v>
      </c>
      <c r="B405" s="3" t="s">
        <v>1912</v>
      </c>
      <c r="C405" s="3" t="str">
        <f>"坡子街街道"</f>
        <v>坡子街街道</v>
      </c>
      <c r="D405" s="3" t="str">
        <f>"青山祠社区"</f>
        <v>青山祠社区</v>
      </c>
      <c r="E405" s="3" t="str">
        <f t="shared" si="162"/>
        <v>140</v>
      </c>
      <c r="F405" s="3" t="str">
        <f t="shared" si="167"/>
        <v>100</v>
      </c>
      <c r="G405" s="3" t="str">
        <f t="shared" si="166"/>
        <v>二级</v>
      </c>
    </row>
    <row r="406" customHeight="1" spans="1:7">
      <c r="A406" s="3" t="str">
        <f>"2805"</f>
        <v>2805</v>
      </c>
      <c r="B406" s="3" t="s">
        <v>1913</v>
      </c>
      <c r="C406" s="3" t="str">
        <f t="shared" ref="C406:C416" si="170">"黑石铺街道"</f>
        <v>黑石铺街道</v>
      </c>
      <c r="D406" s="3" t="str">
        <f t="shared" ref="D406:D416" si="171">"黑石铺社区"</f>
        <v>黑石铺社区</v>
      </c>
      <c r="E406" s="3" t="str">
        <f t="shared" si="162"/>
        <v>140</v>
      </c>
      <c r="F406" s="3" t="str">
        <f t="shared" si="167"/>
        <v>100</v>
      </c>
      <c r="G406" s="3" t="str">
        <f t="shared" si="166"/>
        <v>二级</v>
      </c>
    </row>
    <row r="407" customHeight="1" spans="1:7">
      <c r="A407" s="3" t="str">
        <f>"2806"</f>
        <v>2806</v>
      </c>
      <c r="B407" s="3" t="s">
        <v>1914</v>
      </c>
      <c r="C407" s="3" t="str">
        <f t="shared" si="170"/>
        <v>黑石铺街道</v>
      </c>
      <c r="D407" s="3" t="str">
        <f t="shared" si="171"/>
        <v>黑石铺社区</v>
      </c>
      <c r="E407" s="3" t="str">
        <f t="shared" si="162"/>
        <v>140</v>
      </c>
      <c r="F407" s="3" t="str">
        <f t="shared" si="167"/>
        <v>100</v>
      </c>
      <c r="G407" s="3" t="str">
        <f t="shared" si="166"/>
        <v>二级</v>
      </c>
    </row>
    <row r="408" customHeight="1" spans="1:7">
      <c r="A408" s="3" t="str">
        <f>"2807"</f>
        <v>2807</v>
      </c>
      <c r="B408" s="3" t="s">
        <v>1915</v>
      </c>
      <c r="C408" s="3" t="str">
        <f t="shared" si="170"/>
        <v>黑石铺街道</v>
      </c>
      <c r="D408" s="3" t="str">
        <f t="shared" si="171"/>
        <v>黑石铺社区</v>
      </c>
      <c r="E408" s="3" t="str">
        <f t="shared" si="162"/>
        <v>140</v>
      </c>
      <c r="F408" s="3" t="str">
        <f t="shared" si="167"/>
        <v>100</v>
      </c>
      <c r="G408" s="3" t="str">
        <f t="shared" si="166"/>
        <v>二级</v>
      </c>
    </row>
    <row r="409" customHeight="1" spans="1:7">
      <c r="A409" s="3" t="str">
        <f>"2808"</f>
        <v>2808</v>
      </c>
      <c r="B409" s="3" t="s">
        <v>809</v>
      </c>
      <c r="C409" s="3" t="str">
        <f t="shared" si="170"/>
        <v>黑石铺街道</v>
      </c>
      <c r="D409" s="3" t="str">
        <f t="shared" si="171"/>
        <v>黑石铺社区</v>
      </c>
      <c r="E409" s="3" t="str">
        <f t="shared" si="162"/>
        <v>140</v>
      </c>
      <c r="F409" s="3" t="str">
        <f t="shared" si="167"/>
        <v>100</v>
      </c>
      <c r="G409" s="3" t="str">
        <f t="shared" si="166"/>
        <v>二级</v>
      </c>
    </row>
    <row r="410" customHeight="1" spans="1:7">
      <c r="A410" s="3" t="str">
        <f>"2809"</f>
        <v>2809</v>
      </c>
      <c r="B410" s="3" t="s">
        <v>76</v>
      </c>
      <c r="C410" s="3" t="str">
        <f t="shared" si="170"/>
        <v>黑石铺街道</v>
      </c>
      <c r="D410" s="3" t="str">
        <f t="shared" si="171"/>
        <v>黑石铺社区</v>
      </c>
      <c r="E410" s="3" t="str">
        <f t="shared" si="162"/>
        <v>140</v>
      </c>
      <c r="F410" s="3" t="str">
        <f t="shared" si="167"/>
        <v>100</v>
      </c>
      <c r="G410" s="3" t="str">
        <f t="shared" si="166"/>
        <v>二级</v>
      </c>
    </row>
    <row r="411" customHeight="1" spans="1:7">
      <c r="A411" s="3" t="str">
        <f>"2810"</f>
        <v>2810</v>
      </c>
      <c r="B411" s="3" t="s">
        <v>80</v>
      </c>
      <c r="C411" s="3" t="str">
        <f t="shared" si="170"/>
        <v>黑石铺街道</v>
      </c>
      <c r="D411" s="3" t="str">
        <f t="shared" si="171"/>
        <v>黑石铺社区</v>
      </c>
      <c r="E411" s="3" t="str">
        <f t="shared" si="162"/>
        <v>140</v>
      </c>
      <c r="F411" s="3" t="str">
        <f t="shared" si="167"/>
        <v>100</v>
      </c>
      <c r="G411" s="3" t="str">
        <f>"一级"</f>
        <v>一级</v>
      </c>
    </row>
    <row r="412" customHeight="1" spans="1:7">
      <c r="A412" s="3" t="str">
        <f>"2811"</f>
        <v>2811</v>
      </c>
      <c r="B412" s="3" t="s">
        <v>32</v>
      </c>
      <c r="C412" s="3" t="str">
        <f t="shared" si="170"/>
        <v>黑石铺街道</v>
      </c>
      <c r="D412" s="3" t="str">
        <f t="shared" si="171"/>
        <v>黑石铺社区</v>
      </c>
      <c r="E412" s="3" t="str">
        <f t="shared" si="162"/>
        <v>140</v>
      </c>
      <c r="F412" s="3" t="str">
        <f t="shared" si="167"/>
        <v>100</v>
      </c>
      <c r="G412" s="3" t="str">
        <f t="shared" ref="G412:G414" si="172">"二级"</f>
        <v>二级</v>
      </c>
    </row>
    <row r="413" customHeight="1" spans="1:7">
      <c r="A413" s="3" t="str">
        <f>"2812"</f>
        <v>2812</v>
      </c>
      <c r="B413" s="3" t="s">
        <v>1916</v>
      </c>
      <c r="C413" s="3" t="str">
        <f t="shared" si="170"/>
        <v>黑石铺街道</v>
      </c>
      <c r="D413" s="3" t="str">
        <f t="shared" si="171"/>
        <v>黑石铺社区</v>
      </c>
      <c r="E413" s="3" t="str">
        <f t="shared" si="162"/>
        <v>140</v>
      </c>
      <c r="F413" s="3" t="str">
        <f t="shared" si="167"/>
        <v>100</v>
      </c>
      <c r="G413" s="3" t="str">
        <f t="shared" si="172"/>
        <v>二级</v>
      </c>
    </row>
    <row r="414" customHeight="1" spans="1:7">
      <c r="A414" s="3" t="str">
        <f>"2813"</f>
        <v>2813</v>
      </c>
      <c r="B414" s="3" t="s">
        <v>1917</v>
      </c>
      <c r="C414" s="3" t="str">
        <f t="shared" si="170"/>
        <v>黑石铺街道</v>
      </c>
      <c r="D414" s="3" t="str">
        <f t="shared" si="171"/>
        <v>黑石铺社区</v>
      </c>
      <c r="E414" s="3" t="str">
        <f t="shared" si="162"/>
        <v>140</v>
      </c>
      <c r="F414" s="3" t="str">
        <f t="shared" si="167"/>
        <v>100</v>
      </c>
      <c r="G414" s="3" t="str">
        <f t="shared" si="172"/>
        <v>二级</v>
      </c>
    </row>
    <row r="415" customHeight="1" spans="1:7">
      <c r="A415" s="3" t="str">
        <f>"2814"</f>
        <v>2814</v>
      </c>
      <c r="B415" s="3" t="s">
        <v>1918</v>
      </c>
      <c r="C415" s="3" t="str">
        <f t="shared" si="170"/>
        <v>黑石铺街道</v>
      </c>
      <c r="D415" s="3" t="str">
        <f t="shared" si="171"/>
        <v>黑石铺社区</v>
      </c>
      <c r="E415" s="3" t="str">
        <f t="shared" si="162"/>
        <v>140</v>
      </c>
      <c r="F415" s="3" t="str">
        <f t="shared" si="167"/>
        <v>100</v>
      </c>
      <c r="G415" s="3" t="str">
        <f>"一级"</f>
        <v>一级</v>
      </c>
    </row>
    <row r="416" customHeight="1" spans="1:7">
      <c r="A416" s="3" t="str">
        <f>"2815"</f>
        <v>2815</v>
      </c>
      <c r="B416" s="3" t="s">
        <v>773</v>
      </c>
      <c r="C416" s="3" t="str">
        <f t="shared" si="170"/>
        <v>黑石铺街道</v>
      </c>
      <c r="D416" s="3" t="str">
        <f t="shared" si="171"/>
        <v>黑石铺社区</v>
      </c>
      <c r="E416" s="3" t="str">
        <f t="shared" si="162"/>
        <v>140</v>
      </c>
      <c r="F416" s="3" t="str">
        <f t="shared" si="167"/>
        <v>100</v>
      </c>
      <c r="G416" s="3" t="str">
        <f>"二级"</f>
        <v>二级</v>
      </c>
    </row>
    <row r="417" customHeight="1" spans="1:7">
      <c r="A417" s="3" t="str">
        <f>"2816"</f>
        <v>2816</v>
      </c>
      <c r="B417" s="3" t="s">
        <v>1919</v>
      </c>
      <c r="C417" s="3" t="str">
        <f t="shared" ref="C417:C423" si="173">"坡子街街道"</f>
        <v>坡子街街道</v>
      </c>
      <c r="D417" s="3" t="str">
        <f>"太平街社区"</f>
        <v>太平街社区</v>
      </c>
      <c r="E417" s="3" t="str">
        <f t="shared" si="162"/>
        <v>140</v>
      </c>
      <c r="F417" s="3" t="str">
        <f t="shared" ref="F417:F419" si="174">"0"</f>
        <v>0</v>
      </c>
      <c r="G417" s="3" t="str">
        <f>"三级"</f>
        <v>三级</v>
      </c>
    </row>
    <row r="418" customHeight="1" spans="1:7">
      <c r="A418" s="3" t="str">
        <f>"2817"</f>
        <v>2817</v>
      </c>
      <c r="B418" s="3" t="s">
        <v>757</v>
      </c>
      <c r="C418" s="3" t="str">
        <f>"赤岭路街道"</f>
        <v>赤岭路街道</v>
      </c>
      <c r="D418" s="3" t="str">
        <f>"南大桥社区"</f>
        <v>南大桥社区</v>
      </c>
      <c r="E418" s="3" t="str">
        <f t="shared" si="162"/>
        <v>140</v>
      </c>
      <c r="F418" s="3" t="str">
        <f t="shared" si="174"/>
        <v>0</v>
      </c>
      <c r="G418" s="3" t="str">
        <f t="shared" ref="G418:G422" si="175">"四级"</f>
        <v>四级</v>
      </c>
    </row>
    <row r="419" customHeight="1" spans="1:7">
      <c r="A419" s="3" t="str">
        <f>"2818"</f>
        <v>2818</v>
      </c>
      <c r="B419" s="3" t="s">
        <v>139</v>
      </c>
      <c r="C419" s="3" t="str">
        <f t="shared" si="173"/>
        <v>坡子街街道</v>
      </c>
      <c r="D419" s="3" t="str">
        <f>"创远社区"</f>
        <v>创远社区</v>
      </c>
      <c r="E419" s="3" t="str">
        <f t="shared" si="162"/>
        <v>140</v>
      </c>
      <c r="F419" s="3" t="str">
        <f t="shared" si="174"/>
        <v>0</v>
      </c>
      <c r="G419" s="3" t="str">
        <f t="shared" si="175"/>
        <v>四级</v>
      </c>
    </row>
    <row r="420" customHeight="1" spans="1:7">
      <c r="A420" s="3" t="str">
        <f>"2819"</f>
        <v>2819</v>
      </c>
      <c r="B420" s="3" t="s">
        <v>1920</v>
      </c>
      <c r="C420" s="3" t="str">
        <f t="shared" si="173"/>
        <v>坡子街街道</v>
      </c>
      <c r="D420" s="3" t="str">
        <f t="shared" ref="D420:D423" si="176">"登仁桥社区"</f>
        <v>登仁桥社区</v>
      </c>
      <c r="E420" s="3" t="str">
        <f t="shared" si="162"/>
        <v>140</v>
      </c>
      <c r="F420" s="3" t="str">
        <f>"100"</f>
        <v>100</v>
      </c>
      <c r="G420" s="3" t="str">
        <f>"二级"</f>
        <v>二级</v>
      </c>
    </row>
    <row r="421" customHeight="1" spans="1:7">
      <c r="A421" s="3" t="str">
        <f>"2820"</f>
        <v>2820</v>
      </c>
      <c r="B421" s="3" t="s">
        <v>1921</v>
      </c>
      <c r="C421" s="3" t="str">
        <f t="shared" si="173"/>
        <v>坡子街街道</v>
      </c>
      <c r="D421" s="3" t="str">
        <f t="shared" si="176"/>
        <v>登仁桥社区</v>
      </c>
      <c r="E421" s="3" t="str">
        <f t="shared" si="162"/>
        <v>140</v>
      </c>
      <c r="F421" s="3" t="str">
        <f t="shared" ref="F421:F430" si="177">"0"</f>
        <v>0</v>
      </c>
      <c r="G421" s="3" t="str">
        <f t="shared" ref="G421:G427" si="178">"三级"</f>
        <v>三级</v>
      </c>
    </row>
    <row r="422" customHeight="1" spans="1:7">
      <c r="A422" s="3" t="str">
        <f>"2821"</f>
        <v>2821</v>
      </c>
      <c r="B422" s="3" t="s">
        <v>1050</v>
      </c>
      <c r="C422" s="3" t="str">
        <f t="shared" si="173"/>
        <v>坡子街街道</v>
      </c>
      <c r="D422" s="3" t="str">
        <f t="shared" si="176"/>
        <v>登仁桥社区</v>
      </c>
      <c r="E422" s="3" t="str">
        <f t="shared" si="162"/>
        <v>140</v>
      </c>
      <c r="F422" s="3" t="str">
        <f t="shared" si="177"/>
        <v>0</v>
      </c>
      <c r="G422" s="3" t="str">
        <f t="shared" si="175"/>
        <v>四级</v>
      </c>
    </row>
    <row r="423" customHeight="1" spans="1:7">
      <c r="A423" s="3" t="str">
        <f>"2822"</f>
        <v>2822</v>
      </c>
      <c r="B423" s="3" t="s">
        <v>611</v>
      </c>
      <c r="C423" s="3" t="str">
        <f t="shared" si="173"/>
        <v>坡子街街道</v>
      </c>
      <c r="D423" s="3" t="str">
        <f t="shared" si="176"/>
        <v>登仁桥社区</v>
      </c>
      <c r="E423" s="3" t="str">
        <f t="shared" si="162"/>
        <v>140</v>
      </c>
      <c r="F423" s="3" t="str">
        <f>"100"</f>
        <v>100</v>
      </c>
      <c r="G423" s="3" t="str">
        <f>"一级"</f>
        <v>一级</v>
      </c>
    </row>
    <row r="424" customHeight="1" spans="1:7">
      <c r="A424" s="3" t="str">
        <f>"2823"</f>
        <v>2823</v>
      </c>
      <c r="B424" s="3" t="s">
        <v>68</v>
      </c>
      <c r="C424" s="3" t="str">
        <f>"暮云街道"</f>
        <v>暮云街道</v>
      </c>
      <c r="D424" s="3" t="str">
        <f>"暮云新村"</f>
        <v>暮云新村</v>
      </c>
      <c r="E424" s="3" t="str">
        <f t="shared" si="162"/>
        <v>140</v>
      </c>
      <c r="F424" s="3" t="str">
        <f t="shared" si="177"/>
        <v>0</v>
      </c>
      <c r="G424" s="3" t="str">
        <f t="shared" si="178"/>
        <v>三级</v>
      </c>
    </row>
    <row r="425" customHeight="1" spans="1:7">
      <c r="A425" s="3" t="str">
        <f>"2824"</f>
        <v>2824</v>
      </c>
      <c r="B425" s="3" t="s">
        <v>1922</v>
      </c>
      <c r="C425" s="3" t="str">
        <f t="shared" ref="C425:C429" si="179">"坡子街街道"</f>
        <v>坡子街街道</v>
      </c>
      <c r="D425" s="3" t="str">
        <f>"登仁桥社区"</f>
        <v>登仁桥社区</v>
      </c>
      <c r="E425" s="3" t="str">
        <f t="shared" si="162"/>
        <v>140</v>
      </c>
      <c r="F425" s="3" t="str">
        <f t="shared" si="177"/>
        <v>0</v>
      </c>
      <c r="G425" s="3" t="str">
        <f>"四级"</f>
        <v>四级</v>
      </c>
    </row>
    <row r="426" customHeight="1" spans="1:7">
      <c r="A426" s="3" t="str">
        <f>"2825"</f>
        <v>2825</v>
      </c>
      <c r="B426" s="3" t="s">
        <v>1923</v>
      </c>
      <c r="C426" s="3" t="str">
        <f t="shared" si="179"/>
        <v>坡子街街道</v>
      </c>
      <c r="D426" s="3" t="str">
        <f>"碧湘社区"</f>
        <v>碧湘社区</v>
      </c>
      <c r="E426" s="3" t="str">
        <f t="shared" si="162"/>
        <v>140</v>
      </c>
      <c r="F426" s="3" t="str">
        <f t="shared" si="177"/>
        <v>0</v>
      </c>
      <c r="G426" s="3" t="str">
        <f t="shared" si="178"/>
        <v>三级</v>
      </c>
    </row>
    <row r="427" customHeight="1" spans="1:7">
      <c r="A427" s="3" t="str">
        <f>"2826"</f>
        <v>2826</v>
      </c>
      <c r="B427" s="3" t="s">
        <v>420</v>
      </c>
      <c r="C427" s="3" t="str">
        <f>"新开铺街道"</f>
        <v>新开铺街道</v>
      </c>
      <c r="D427" s="3" t="str">
        <f>"豹子岭社区"</f>
        <v>豹子岭社区</v>
      </c>
      <c r="E427" s="3" t="str">
        <f t="shared" si="162"/>
        <v>140</v>
      </c>
      <c r="F427" s="3" t="str">
        <f t="shared" si="177"/>
        <v>0</v>
      </c>
      <c r="G427" s="3" t="str">
        <f t="shared" si="178"/>
        <v>三级</v>
      </c>
    </row>
    <row r="428" customHeight="1" spans="1:7">
      <c r="A428" s="3" t="str">
        <f>"2827"</f>
        <v>2827</v>
      </c>
      <c r="B428" s="3" t="s">
        <v>1924</v>
      </c>
      <c r="C428" s="3" t="str">
        <f>"南托街道"</f>
        <v>南托街道</v>
      </c>
      <c r="D428" s="3" t="str">
        <f>"滨洲新村"</f>
        <v>滨洲新村</v>
      </c>
      <c r="E428" s="3" t="str">
        <f t="shared" si="162"/>
        <v>140</v>
      </c>
      <c r="F428" s="3" t="str">
        <f t="shared" si="177"/>
        <v>0</v>
      </c>
      <c r="G428" s="3" t="str">
        <f>"四级"</f>
        <v>四级</v>
      </c>
    </row>
    <row r="429" customHeight="1" spans="1:7">
      <c r="A429" s="3" t="str">
        <f>"2828"</f>
        <v>2828</v>
      </c>
      <c r="B429" s="3" t="s">
        <v>1925</v>
      </c>
      <c r="C429" s="3" t="str">
        <f t="shared" si="179"/>
        <v>坡子街街道</v>
      </c>
      <c r="D429" s="3" t="str">
        <f>"西牌楼社区"</f>
        <v>西牌楼社区</v>
      </c>
      <c r="E429" s="3" t="str">
        <f t="shared" si="162"/>
        <v>140</v>
      </c>
      <c r="F429" s="3" t="str">
        <f t="shared" si="177"/>
        <v>0</v>
      </c>
      <c r="G429" s="3" t="str">
        <f t="shared" ref="G429:G433" si="180">"三级"</f>
        <v>三级</v>
      </c>
    </row>
    <row r="430" customHeight="1" spans="1:7">
      <c r="A430" s="3" t="str">
        <f>"2829"</f>
        <v>2829</v>
      </c>
      <c r="B430" s="3" t="s">
        <v>32</v>
      </c>
      <c r="C430" s="3" t="str">
        <f>"城南路街道"</f>
        <v>城南路街道</v>
      </c>
      <c r="D430" s="3" t="str">
        <f>"天心阁社区"</f>
        <v>天心阁社区</v>
      </c>
      <c r="E430" s="3" t="str">
        <f t="shared" si="162"/>
        <v>140</v>
      </c>
      <c r="F430" s="3" t="str">
        <f t="shared" si="177"/>
        <v>0</v>
      </c>
      <c r="G430" s="3" t="str">
        <f t="shared" si="180"/>
        <v>三级</v>
      </c>
    </row>
    <row r="431" customHeight="1" spans="1:7">
      <c r="A431" s="3" t="str">
        <f>"2830"</f>
        <v>2830</v>
      </c>
      <c r="B431" s="3" t="s">
        <v>419</v>
      </c>
      <c r="C431" s="3" t="str">
        <f>"裕南街街道"</f>
        <v>裕南街街道</v>
      </c>
      <c r="D431" s="3" t="str">
        <f>"长坡社区"</f>
        <v>长坡社区</v>
      </c>
      <c r="E431" s="3" t="str">
        <f t="shared" si="162"/>
        <v>140</v>
      </c>
      <c r="F431" s="3" t="str">
        <f>"100"</f>
        <v>100</v>
      </c>
      <c r="G431" s="3" t="str">
        <f>"二级"</f>
        <v>二级</v>
      </c>
    </row>
    <row r="432" customHeight="1" spans="1:7">
      <c r="A432" s="3" t="str">
        <f>"2831"</f>
        <v>2831</v>
      </c>
      <c r="B432" s="3" t="s">
        <v>1926</v>
      </c>
      <c r="C432" s="3" t="str">
        <f>"大托铺街道"</f>
        <v>大托铺街道</v>
      </c>
      <c r="D432" s="3" t="str">
        <f>"兴隆村委会"</f>
        <v>兴隆村委会</v>
      </c>
      <c r="E432" s="3" t="str">
        <f t="shared" si="162"/>
        <v>140</v>
      </c>
      <c r="F432" s="3" t="str">
        <f t="shared" ref="F432:F436" si="181">"0"</f>
        <v>0</v>
      </c>
      <c r="G432" s="3" t="str">
        <f t="shared" si="180"/>
        <v>三级</v>
      </c>
    </row>
    <row r="433" customHeight="1" spans="1:7">
      <c r="A433" s="3" t="str">
        <f>"2832"</f>
        <v>2832</v>
      </c>
      <c r="B433" s="3" t="s">
        <v>1927</v>
      </c>
      <c r="C433" s="3" t="str">
        <f>"文源街道"</f>
        <v>文源街道</v>
      </c>
      <c r="D433" s="3" t="str">
        <f>"天鸿社区"</f>
        <v>天鸿社区</v>
      </c>
      <c r="E433" s="3" t="str">
        <f t="shared" si="162"/>
        <v>140</v>
      </c>
      <c r="F433" s="3" t="str">
        <f t="shared" si="181"/>
        <v>0</v>
      </c>
      <c r="G433" s="3" t="str">
        <f t="shared" si="180"/>
        <v>三级</v>
      </c>
    </row>
    <row r="434" customHeight="1" spans="1:7">
      <c r="A434" s="3" t="str">
        <f>"2833"</f>
        <v>2833</v>
      </c>
      <c r="B434" s="3" t="s">
        <v>1928</v>
      </c>
      <c r="C434" s="3" t="str">
        <f>"裕南街街道"</f>
        <v>裕南街街道</v>
      </c>
      <c r="D434" s="3" t="str">
        <f>"东瓜山社区"</f>
        <v>东瓜山社区</v>
      </c>
      <c r="E434" s="3" t="str">
        <f t="shared" si="162"/>
        <v>140</v>
      </c>
      <c r="F434" s="3" t="str">
        <f t="shared" ref="F434:F461" si="182">"100"</f>
        <v>100</v>
      </c>
      <c r="G434" s="3" t="str">
        <f>"二级"</f>
        <v>二级</v>
      </c>
    </row>
    <row r="435" customHeight="1" spans="1:7">
      <c r="A435" s="3" t="str">
        <f>"2834"</f>
        <v>2834</v>
      </c>
      <c r="B435" s="3" t="s">
        <v>70</v>
      </c>
      <c r="C435" s="3" t="str">
        <f>"大托铺街道"</f>
        <v>大托铺街道</v>
      </c>
      <c r="D435" s="3" t="str">
        <f>"黄合村委会"</f>
        <v>黄合村委会</v>
      </c>
      <c r="E435" s="3" t="str">
        <f t="shared" si="162"/>
        <v>140</v>
      </c>
      <c r="F435" s="3" t="str">
        <f t="shared" si="181"/>
        <v>0</v>
      </c>
      <c r="G435" s="3" t="str">
        <f>"三级"</f>
        <v>三级</v>
      </c>
    </row>
    <row r="436" customHeight="1" spans="1:7">
      <c r="A436" s="3" t="str">
        <f>"2835"</f>
        <v>2835</v>
      </c>
      <c r="B436" s="3" t="s">
        <v>32</v>
      </c>
      <c r="C436" s="3" t="str">
        <f t="shared" ref="C436:C438" si="183">"坡子街街道"</f>
        <v>坡子街街道</v>
      </c>
      <c r="D436" s="3" t="str">
        <f>"登仁桥社区"</f>
        <v>登仁桥社区</v>
      </c>
      <c r="E436" s="3" t="str">
        <f t="shared" si="162"/>
        <v>140</v>
      </c>
      <c r="F436" s="3" t="str">
        <f t="shared" si="181"/>
        <v>0</v>
      </c>
      <c r="G436" s="3" t="str">
        <f>"四级"</f>
        <v>四级</v>
      </c>
    </row>
    <row r="437" customHeight="1" spans="1:7">
      <c r="A437" s="3" t="str">
        <f>"2836"</f>
        <v>2836</v>
      </c>
      <c r="B437" s="3" t="s">
        <v>69</v>
      </c>
      <c r="C437" s="3" t="str">
        <f t="shared" si="183"/>
        <v>坡子街街道</v>
      </c>
      <c r="D437" s="3" t="str">
        <f>"碧湘社区"</f>
        <v>碧湘社区</v>
      </c>
      <c r="E437" s="3" t="str">
        <f t="shared" si="162"/>
        <v>140</v>
      </c>
      <c r="F437" s="3" t="str">
        <f t="shared" si="182"/>
        <v>100</v>
      </c>
      <c r="G437" s="3" t="str">
        <f t="shared" ref="G437:G443" si="184">"二级"</f>
        <v>二级</v>
      </c>
    </row>
    <row r="438" customHeight="1" spans="1:7">
      <c r="A438" s="3" t="str">
        <f>"2837"</f>
        <v>2837</v>
      </c>
      <c r="B438" s="3" t="s">
        <v>1929</v>
      </c>
      <c r="C438" s="3" t="str">
        <f t="shared" si="183"/>
        <v>坡子街街道</v>
      </c>
      <c r="D438" s="3" t="str">
        <f>"西湖社区"</f>
        <v>西湖社区</v>
      </c>
      <c r="E438" s="3" t="str">
        <f t="shared" si="162"/>
        <v>140</v>
      </c>
      <c r="F438" s="3" t="str">
        <f t="shared" si="182"/>
        <v>100</v>
      </c>
      <c r="G438" s="3" t="str">
        <f>"一级"</f>
        <v>一级</v>
      </c>
    </row>
    <row r="439" customHeight="1" spans="1:7">
      <c r="A439" s="3" t="str">
        <f>"2838"</f>
        <v>2838</v>
      </c>
      <c r="B439" s="3" t="s">
        <v>399</v>
      </c>
      <c r="C439" s="3" t="str">
        <f>"裕南街街道"</f>
        <v>裕南街街道</v>
      </c>
      <c r="D439" s="3" t="str">
        <f>"裕南街社区"</f>
        <v>裕南街社区</v>
      </c>
      <c r="E439" s="3" t="str">
        <f t="shared" si="162"/>
        <v>140</v>
      </c>
      <c r="F439" s="3" t="str">
        <f t="shared" si="182"/>
        <v>100</v>
      </c>
      <c r="G439" s="3" t="str">
        <f>"一级"</f>
        <v>一级</v>
      </c>
    </row>
    <row r="440" customHeight="1" spans="1:7">
      <c r="A440" s="3" t="str">
        <f>"2839"</f>
        <v>2839</v>
      </c>
      <c r="B440" s="3" t="s">
        <v>1930</v>
      </c>
      <c r="C440" s="3" t="str">
        <f>"南托街道"</f>
        <v>南托街道</v>
      </c>
      <c r="D440" s="3" t="str">
        <f>"滨洲新村"</f>
        <v>滨洲新村</v>
      </c>
      <c r="E440" s="3" t="str">
        <f t="shared" si="162"/>
        <v>140</v>
      </c>
      <c r="F440" s="3" t="str">
        <f t="shared" si="182"/>
        <v>100</v>
      </c>
      <c r="G440" s="3" t="str">
        <f t="shared" si="184"/>
        <v>二级</v>
      </c>
    </row>
    <row r="441" customHeight="1" spans="1:7">
      <c r="A441" s="3" t="str">
        <f>"2840"</f>
        <v>2840</v>
      </c>
      <c r="B441" s="3" t="s">
        <v>1931</v>
      </c>
      <c r="C441" s="3" t="str">
        <f>"新开铺街道"</f>
        <v>新开铺街道</v>
      </c>
      <c r="D441" s="3" t="str">
        <f>"新开铺社区"</f>
        <v>新开铺社区</v>
      </c>
      <c r="E441" s="3" t="str">
        <f t="shared" si="162"/>
        <v>140</v>
      </c>
      <c r="F441" s="3" t="str">
        <f t="shared" si="182"/>
        <v>100</v>
      </c>
      <c r="G441" s="3" t="str">
        <f t="shared" si="184"/>
        <v>二级</v>
      </c>
    </row>
    <row r="442" customHeight="1" spans="1:7">
      <c r="A442" s="3" t="str">
        <f>"2841"</f>
        <v>2841</v>
      </c>
      <c r="B442" s="3" t="s">
        <v>113</v>
      </c>
      <c r="C442" s="3" t="str">
        <f>"裕南街街道"</f>
        <v>裕南街街道</v>
      </c>
      <c r="D442" s="3" t="str">
        <f>"石子冲社区"</f>
        <v>石子冲社区</v>
      </c>
      <c r="E442" s="3" t="str">
        <f t="shared" si="162"/>
        <v>140</v>
      </c>
      <c r="F442" s="3" t="str">
        <f t="shared" si="182"/>
        <v>100</v>
      </c>
      <c r="G442" s="3" t="str">
        <f t="shared" si="184"/>
        <v>二级</v>
      </c>
    </row>
    <row r="443" customHeight="1" spans="1:7">
      <c r="A443" s="3" t="str">
        <f>"2842"</f>
        <v>2842</v>
      </c>
      <c r="B443" s="3" t="s">
        <v>1932</v>
      </c>
      <c r="C443" s="3" t="str">
        <f>"赤岭路街道"</f>
        <v>赤岭路街道</v>
      </c>
      <c r="D443" s="3" t="str">
        <f>"新丰社区"</f>
        <v>新丰社区</v>
      </c>
      <c r="E443" s="3" t="str">
        <f t="shared" si="162"/>
        <v>140</v>
      </c>
      <c r="F443" s="3" t="str">
        <f t="shared" si="182"/>
        <v>100</v>
      </c>
      <c r="G443" s="3" t="str">
        <f t="shared" si="184"/>
        <v>二级</v>
      </c>
    </row>
    <row r="444" customHeight="1" spans="1:7">
      <c r="A444" s="3" t="str">
        <f>"2843"</f>
        <v>2843</v>
      </c>
      <c r="B444" s="3" t="s">
        <v>1933</v>
      </c>
      <c r="C444" s="3" t="str">
        <f>"黑石铺街道"</f>
        <v>黑石铺街道</v>
      </c>
      <c r="D444" s="3" t="str">
        <f>"一力社区"</f>
        <v>一力社区</v>
      </c>
      <c r="E444" s="3" t="str">
        <f t="shared" si="162"/>
        <v>140</v>
      </c>
      <c r="F444" s="3" t="str">
        <f t="shared" si="182"/>
        <v>100</v>
      </c>
      <c r="G444" s="3" t="str">
        <f>"一级"</f>
        <v>一级</v>
      </c>
    </row>
    <row r="445" customHeight="1" spans="1:7">
      <c r="A445" s="3" t="str">
        <f>"2844"</f>
        <v>2844</v>
      </c>
      <c r="B445" s="3" t="s">
        <v>380</v>
      </c>
      <c r="C445" s="3" t="str">
        <f>"南托街道"</f>
        <v>南托街道</v>
      </c>
      <c r="D445" s="3" t="str">
        <f>"沿江村"</f>
        <v>沿江村</v>
      </c>
      <c r="E445" s="3" t="str">
        <f t="shared" si="162"/>
        <v>140</v>
      </c>
      <c r="F445" s="3" t="str">
        <f t="shared" si="182"/>
        <v>100</v>
      </c>
      <c r="G445" s="3" t="str">
        <f t="shared" ref="G445:G448" si="185">"二级"</f>
        <v>二级</v>
      </c>
    </row>
    <row r="446" customHeight="1" spans="1:7">
      <c r="A446" s="3" t="str">
        <f>"2845"</f>
        <v>2845</v>
      </c>
      <c r="B446" s="3" t="s">
        <v>139</v>
      </c>
      <c r="C446" s="3" t="str">
        <f>"裕南街街道"</f>
        <v>裕南街街道</v>
      </c>
      <c r="D446" s="3" t="str">
        <f>"长坡社区"</f>
        <v>长坡社区</v>
      </c>
      <c r="E446" s="3" t="str">
        <f t="shared" si="162"/>
        <v>140</v>
      </c>
      <c r="F446" s="3" t="str">
        <f t="shared" si="182"/>
        <v>100</v>
      </c>
      <c r="G446" s="3" t="str">
        <f t="shared" si="185"/>
        <v>二级</v>
      </c>
    </row>
    <row r="447" customHeight="1" spans="1:7">
      <c r="A447" s="3" t="str">
        <f>"2846"</f>
        <v>2846</v>
      </c>
      <c r="B447" s="3" t="s">
        <v>68</v>
      </c>
      <c r="C447" s="3" t="str">
        <f>"青园街道"</f>
        <v>青园街道</v>
      </c>
      <c r="D447" s="3" t="str">
        <f>"井湾子社区"</f>
        <v>井湾子社区</v>
      </c>
      <c r="E447" s="3" t="str">
        <f t="shared" si="162"/>
        <v>140</v>
      </c>
      <c r="F447" s="3" t="str">
        <f t="shared" si="182"/>
        <v>100</v>
      </c>
      <c r="G447" s="3" t="str">
        <f t="shared" si="185"/>
        <v>二级</v>
      </c>
    </row>
    <row r="448" customHeight="1" spans="1:7">
      <c r="A448" s="3" t="str">
        <f>"2847"</f>
        <v>2847</v>
      </c>
      <c r="B448" s="3" t="s">
        <v>1934</v>
      </c>
      <c r="C448" s="3" t="str">
        <f>"南托街道"</f>
        <v>南托街道</v>
      </c>
      <c r="D448" s="3" t="str">
        <f>"沿江村"</f>
        <v>沿江村</v>
      </c>
      <c r="E448" s="3" t="str">
        <f t="shared" si="162"/>
        <v>140</v>
      </c>
      <c r="F448" s="3" t="str">
        <f t="shared" si="182"/>
        <v>100</v>
      </c>
      <c r="G448" s="3" t="str">
        <f t="shared" si="185"/>
        <v>二级</v>
      </c>
    </row>
    <row r="449" customHeight="1" spans="1:7">
      <c r="A449" s="3" t="str">
        <f>"2848"</f>
        <v>2848</v>
      </c>
      <c r="B449" s="3" t="s">
        <v>195</v>
      </c>
      <c r="C449" s="3" t="str">
        <f>"裕南街街道"</f>
        <v>裕南街街道</v>
      </c>
      <c r="D449" s="3" t="str">
        <f>"火把山社区"</f>
        <v>火把山社区</v>
      </c>
      <c r="E449" s="3" t="str">
        <f t="shared" si="162"/>
        <v>140</v>
      </c>
      <c r="F449" s="3" t="str">
        <f t="shared" si="182"/>
        <v>100</v>
      </c>
      <c r="G449" s="3" t="str">
        <f>"一级"</f>
        <v>一级</v>
      </c>
    </row>
    <row r="450" customHeight="1" spans="1:7">
      <c r="A450" s="3" t="str">
        <f>"2849"</f>
        <v>2849</v>
      </c>
      <c r="B450" s="3" t="s">
        <v>1935</v>
      </c>
      <c r="C450" s="3" t="str">
        <f>"城南路街道"</f>
        <v>城南路街道</v>
      </c>
      <c r="D450" s="3" t="str">
        <f>"天心阁社区"</f>
        <v>天心阁社区</v>
      </c>
      <c r="E450" s="3" t="str">
        <f t="shared" ref="E450:E513" si="186">"140"</f>
        <v>140</v>
      </c>
      <c r="F450" s="3" t="str">
        <f t="shared" si="182"/>
        <v>100</v>
      </c>
      <c r="G450" s="3" t="str">
        <f t="shared" ref="G450:G455" si="187">"二级"</f>
        <v>二级</v>
      </c>
    </row>
    <row r="451" customHeight="1" spans="1:7">
      <c r="A451" s="3" t="str">
        <f>"2850"</f>
        <v>2850</v>
      </c>
      <c r="B451" s="3" t="s">
        <v>1176</v>
      </c>
      <c r="C451" s="3" t="str">
        <f>"文源街道"</f>
        <v>文源街道</v>
      </c>
      <c r="D451" s="3" t="str">
        <f>"文源社区"</f>
        <v>文源社区</v>
      </c>
      <c r="E451" s="3" t="str">
        <f t="shared" si="186"/>
        <v>140</v>
      </c>
      <c r="F451" s="3" t="str">
        <f t="shared" si="182"/>
        <v>100</v>
      </c>
      <c r="G451" s="3" t="str">
        <f t="shared" si="187"/>
        <v>二级</v>
      </c>
    </row>
    <row r="452" customHeight="1" spans="1:7">
      <c r="A452" s="3" t="str">
        <f>"2851"</f>
        <v>2851</v>
      </c>
      <c r="B452" s="3" t="s">
        <v>139</v>
      </c>
      <c r="C452" s="3" t="str">
        <f>"金盆岭街道"</f>
        <v>金盆岭街道</v>
      </c>
      <c r="D452" s="3" t="str">
        <f>"黄土岭社区"</f>
        <v>黄土岭社区</v>
      </c>
      <c r="E452" s="3" t="str">
        <f t="shared" si="186"/>
        <v>140</v>
      </c>
      <c r="F452" s="3" t="str">
        <f t="shared" si="182"/>
        <v>100</v>
      </c>
      <c r="G452" s="3" t="str">
        <f>"一级"</f>
        <v>一级</v>
      </c>
    </row>
    <row r="453" customHeight="1" spans="1:7">
      <c r="A453" s="3" t="str">
        <f>"2852"</f>
        <v>2852</v>
      </c>
      <c r="B453" s="3" t="s">
        <v>1936</v>
      </c>
      <c r="C453" s="3" t="str">
        <f t="shared" ref="C453:C455" si="188">"暮云街道"</f>
        <v>暮云街道</v>
      </c>
      <c r="D453" s="3" t="str">
        <f>"暮云社区"</f>
        <v>暮云社区</v>
      </c>
      <c r="E453" s="3" t="str">
        <f t="shared" si="186"/>
        <v>140</v>
      </c>
      <c r="F453" s="3" t="str">
        <f t="shared" si="182"/>
        <v>100</v>
      </c>
      <c r="G453" s="3" t="str">
        <f t="shared" si="187"/>
        <v>二级</v>
      </c>
    </row>
    <row r="454" customHeight="1" spans="1:7">
      <c r="A454" s="3" t="str">
        <f>"2853"</f>
        <v>2853</v>
      </c>
      <c r="B454" s="3" t="s">
        <v>1937</v>
      </c>
      <c r="C454" s="3" t="str">
        <f t="shared" si="188"/>
        <v>暮云街道</v>
      </c>
      <c r="D454" s="3" t="str">
        <f>"云塘社区"</f>
        <v>云塘社区</v>
      </c>
      <c r="E454" s="3" t="str">
        <f t="shared" si="186"/>
        <v>140</v>
      </c>
      <c r="F454" s="3" t="str">
        <f t="shared" si="182"/>
        <v>100</v>
      </c>
      <c r="G454" s="3" t="str">
        <f t="shared" si="187"/>
        <v>二级</v>
      </c>
    </row>
    <row r="455" customHeight="1" spans="1:7">
      <c r="A455" s="3" t="str">
        <f>"2854"</f>
        <v>2854</v>
      </c>
      <c r="B455" s="3" t="s">
        <v>1938</v>
      </c>
      <c r="C455" s="3" t="str">
        <f t="shared" si="188"/>
        <v>暮云街道</v>
      </c>
      <c r="D455" s="3" t="str">
        <f>"高云社区"</f>
        <v>高云社区</v>
      </c>
      <c r="E455" s="3" t="str">
        <f t="shared" si="186"/>
        <v>140</v>
      </c>
      <c r="F455" s="3" t="str">
        <f t="shared" si="182"/>
        <v>100</v>
      </c>
      <c r="G455" s="3" t="str">
        <f t="shared" si="187"/>
        <v>二级</v>
      </c>
    </row>
    <row r="456" customHeight="1" spans="1:7">
      <c r="A456" s="3" t="str">
        <f>"2855"</f>
        <v>2855</v>
      </c>
      <c r="B456" s="3" t="s">
        <v>1939</v>
      </c>
      <c r="C456" s="3" t="str">
        <f t="shared" ref="C456:C458" si="189">"坡子街街道"</f>
        <v>坡子街街道</v>
      </c>
      <c r="D456" s="3" t="str">
        <f>"文庙坪社区"</f>
        <v>文庙坪社区</v>
      </c>
      <c r="E456" s="3" t="str">
        <f t="shared" si="186"/>
        <v>140</v>
      </c>
      <c r="F456" s="3" t="str">
        <f t="shared" si="182"/>
        <v>100</v>
      </c>
      <c r="G456" s="3" t="str">
        <f>"一级"</f>
        <v>一级</v>
      </c>
    </row>
    <row r="457" customHeight="1" spans="1:7">
      <c r="A457" s="3" t="str">
        <f>"2856"</f>
        <v>2856</v>
      </c>
      <c r="B457" s="3" t="s">
        <v>1940</v>
      </c>
      <c r="C457" s="3" t="str">
        <f t="shared" si="189"/>
        <v>坡子街街道</v>
      </c>
      <c r="D457" s="3" t="str">
        <f>"碧湘社区"</f>
        <v>碧湘社区</v>
      </c>
      <c r="E457" s="3" t="str">
        <f t="shared" si="186"/>
        <v>140</v>
      </c>
      <c r="F457" s="3" t="str">
        <f t="shared" si="182"/>
        <v>100</v>
      </c>
      <c r="G457" s="3" t="str">
        <f t="shared" ref="G457:G461" si="190">"二级"</f>
        <v>二级</v>
      </c>
    </row>
    <row r="458" customHeight="1" spans="1:7">
      <c r="A458" s="3" t="str">
        <f>"2857"</f>
        <v>2857</v>
      </c>
      <c r="B458" s="3" t="s">
        <v>1941</v>
      </c>
      <c r="C458" s="3" t="str">
        <f t="shared" si="189"/>
        <v>坡子街街道</v>
      </c>
      <c r="D458" s="3" t="str">
        <f>"文庙坪社区"</f>
        <v>文庙坪社区</v>
      </c>
      <c r="E458" s="3" t="str">
        <f t="shared" si="186"/>
        <v>140</v>
      </c>
      <c r="F458" s="3" t="str">
        <f t="shared" si="182"/>
        <v>100</v>
      </c>
      <c r="G458" s="3" t="str">
        <f t="shared" si="190"/>
        <v>二级</v>
      </c>
    </row>
    <row r="459" customHeight="1" spans="1:7">
      <c r="A459" s="3" t="str">
        <f>"2858"</f>
        <v>2858</v>
      </c>
      <c r="B459" s="3" t="s">
        <v>859</v>
      </c>
      <c r="C459" s="3" t="str">
        <f>"赤岭路街道"</f>
        <v>赤岭路街道</v>
      </c>
      <c r="D459" s="3" t="str">
        <f>"猴子石社区"</f>
        <v>猴子石社区</v>
      </c>
      <c r="E459" s="3" t="str">
        <f t="shared" si="186"/>
        <v>140</v>
      </c>
      <c r="F459" s="3" t="str">
        <f t="shared" si="182"/>
        <v>100</v>
      </c>
      <c r="G459" s="3" t="str">
        <f t="shared" si="190"/>
        <v>二级</v>
      </c>
    </row>
    <row r="460" customHeight="1" spans="1:7">
      <c r="A460" s="3" t="str">
        <f>"2859"</f>
        <v>2859</v>
      </c>
      <c r="B460" s="3" t="s">
        <v>1942</v>
      </c>
      <c r="C460" s="3" t="str">
        <f>"金盆岭街道"</f>
        <v>金盆岭街道</v>
      </c>
      <c r="D460" s="3" t="str">
        <f>"夏家冲社区"</f>
        <v>夏家冲社区</v>
      </c>
      <c r="E460" s="3" t="str">
        <f t="shared" si="186"/>
        <v>140</v>
      </c>
      <c r="F460" s="3" t="str">
        <f t="shared" si="182"/>
        <v>100</v>
      </c>
      <c r="G460" s="3" t="str">
        <f t="shared" si="190"/>
        <v>二级</v>
      </c>
    </row>
    <row r="461" customHeight="1" spans="1:7">
      <c r="A461" s="3" t="str">
        <f>"2860"</f>
        <v>2860</v>
      </c>
      <c r="B461" s="3" t="s">
        <v>764</v>
      </c>
      <c r="C461" s="3" t="str">
        <f t="shared" ref="C461:C467" si="191">"坡子街街道"</f>
        <v>坡子街街道</v>
      </c>
      <c r="D461" s="3" t="str">
        <f>"登仁桥社区"</f>
        <v>登仁桥社区</v>
      </c>
      <c r="E461" s="3" t="str">
        <f t="shared" si="186"/>
        <v>140</v>
      </c>
      <c r="F461" s="3" t="str">
        <f t="shared" si="182"/>
        <v>100</v>
      </c>
      <c r="G461" s="3" t="str">
        <f t="shared" si="190"/>
        <v>二级</v>
      </c>
    </row>
    <row r="462" customHeight="1" spans="1:7">
      <c r="A462" s="3" t="str">
        <f>"2861"</f>
        <v>2861</v>
      </c>
      <c r="B462" s="3" t="s">
        <v>1943</v>
      </c>
      <c r="C462" s="3" t="str">
        <f t="shared" si="191"/>
        <v>坡子街街道</v>
      </c>
      <c r="D462" s="3" t="str">
        <f>"文庙坪社区"</f>
        <v>文庙坪社区</v>
      </c>
      <c r="E462" s="3" t="str">
        <f t="shared" si="186"/>
        <v>140</v>
      </c>
      <c r="F462" s="3" t="str">
        <f>"0"</f>
        <v>0</v>
      </c>
      <c r="G462" s="3" t="str">
        <f>"三级"</f>
        <v>三级</v>
      </c>
    </row>
    <row r="463" customHeight="1" spans="1:7">
      <c r="A463" s="3" t="str">
        <f>"2862"</f>
        <v>2862</v>
      </c>
      <c r="B463" s="3" t="s">
        <v>1944</v>
      </c>
      <c r="C463" s="3" t="str">
        <f>"青园街道"</f>
        <v>青园街道</v>
      </c>
      <c r="D463" s="3" t="str">
        <f>"青园社区"</f>
        <v>青园社区</v>
      </c>
      <c r="E463" s="3" t="str">
        <f t="shared" si="186"/>
        <v>140</v>
      </c>
      <c r="F463" s="3" t="str">
        <f t="shared" ref="F463:F476" si="192">"100"</f>
        <v>100</v>
      </c>
      <c r="G463" s="3" t="str">
        <f t="shared" ref="G463:G468" si="193">"一级"</f>
        <v>一级</v>
      </c>
    </row>
    <row r="464" customHeight="1" spans="1:7">
      <c r="A464" s="3" t="str">
        <f>"2863"</f>
        <v>2863</v>
      </c>
      <c r="B464" s="3" t="s">
        <v>125</v>
      </c>
      <c r="C464" s="3" t="str">
        <f>"赤岭路街道"</f>
        <v>赤岭路街道</v>
      </c>
      <c r="D464" s="3" t="str">
        <f>"芙蓉南路社区"</f>
        <v>芙蓉南路社区</v>
      </c>
      <c r="E464" s="3" t="str">
        <f t="shared" si="186"/>
        <v>140</v>
      </c>
      <c r="F464" s="3" t="str">
        <f t="shared" si="192"/>
        <v>100</v>
      </c>
      <c r="G464" s="3" t="str">
        <f t="shared" ref="G464:G467" si="194">"二级"</f>
        <v>二级</v>
      </c>
    </row>
    <row r="465" customHeight="1" spans="1:7">
      <c r="A465" s="3" t="str">
        <f>"2864"</f>
        <v>2864</v>
      </c>
      <c r="B465" s="3" t="s">
        <v>1945</v>
      </c>
      <c r="C465" s="3" t="str">
        <f>"文源街道"</f>
        <v>文源街道</v>
      </c>
      <c r="D465" s="3" t="str">
        <f>"金汇社区"</f>
        <v>金汇社区</v>
      </c>
      <c r="E465" s="3" t="str">
        <f t="shared" si="186"/>
        <v>140</v>
      </c>
      <c r="F465" s="3" t="str">
        <f t="shared" si="192"/>
        <v>100</v>
      </c>
      <c r="G465" s="3" t="str">
        <f t="shared" si="193"/>
        <v>一级</v>
      </c>
    </row>
    <row r="466" customHeight="1" spans="1:7">
      <c r="A466" s="3" t="str">
        <f>"2865"</f>
        <v>2865</v>
      </c>
      <c r="B466" s="3" t="s">
        <v>957</v>
      </c>
      <c r="C466" s="3" t="str">
        <f t="shared" si="191"/>
        <v>坡子街街道</v>
      </c>
      <c r="D466" s="3" t="str">
        <f>"登仁桥社区"</f>
        <v>登仁桥社区</v>
      </c>
      <c r="E466" s="3" t="str">
        <f t="shared" si="186"/>
        <v>140</v>
      </c>
      <c r="F466" s="3" t="str">
        <f t="shared" si="192"/>
        <v>100</v>
      </c>
      <c r="G466" s="3" t="str">
        <f t="shared" si="194"/>
        <v>二级</v>
      </c>
    </row>
    <row r="467" customHeight="1" spans="1:7">
      <c r="A467" s="3" t="str">
        <f>"2866"</f>
        <v>2866</v>
      </c>
      <c r="B467" s="3" t="s">
        <v>1946</v>
      </c>
      <c r="C467" s="3" t="str">
        <f t="shared" si="191"/>
        <v>坡子街街道</v>
      </c>
      <c r="D467" s="3" t="str">
        <f>"创远社区"</f>
        <v>创远社区</v>
      </c>
      <c r="E467" s="3" t="str">
        <f t="shared" si="186"/>
        <v>140</v>
      </c>
      <c r="F467" s="3" t="str">
        <f t="shared" si="192"/>
        <v>100</v>
      </c>
      <c r="G467" s="3" t="str">
        <f t="shared" si="194"/>
        <v>二级</v>
      </c>
    </row>
    <row r="468" customHeight="1" spans="1:7">
      <c r="A468" s="3" t="str">
        <f>"2867"</f>
        <v>2867</v>
      </c>
      <c r="B468" s="3" t="s">
        <v>1947</v>
      </c>
      <c r="C468" s="3" t="str">
        <f>"金盆岭街道"</f>
        <v>金盆岭街道</v>
      </c>
      <c r="D468" s="3" t="str">
        <f>"涂新社区"</f>
        <v>涂新社区</v>
      </c>
      <c r="E468" s="3" t="str">
        <f t="shared" si="186"/>
        <v>140</v>
      </c>
      <c r="F468" s="3" t="str">
        <f t="shared" si="192"/>
        <v>100</v>
      </c>
      <c r="G468" s="3" t="str">
        <f t="shared" si="193"/>
        <v>一级</v>
      </c>
    </row>
    <row r="469" customHeight="1" spans="1:7">
      <c r="A469" s="3" t="str">
        <f>"2868"</f>
        <v>2868</v>
      </c>
      <c r="B469" s="3" t="s">
        <v>1948</v>
      </c>
      <c r="C469" s="3" t="str">
        <f>"城南路街道"</f>
        <v>城南路街道</v>
      </c>
      <c r="D469" s="3" t="str">
        <f>"工农桥社区"</f>
        <v>工农桥社区</v>
      </c>
      <c r="E469" s="3" t="str">
        <f t="shared" si="186"/>
        <v>140</v>
      </c>
      <c r="F469" s="3" t="str">
        <f t="shared" si="192"/>
        <v>100</v>
      </c>
      <c r="G469" s="3" t="str">
        <f t="shared" ref="G469:G473" si="195">"二级"</f>
        <v>二级</v>
      </c>
    </row>
    <row r="470" customHeight="1" spans="1:7">
      <c r="A470" s="3" t="str">
        <f>"2869"</f>
        <v>2869</v>
      </c>
      <c r="B470" s="3" t="s">
        <v>76</v>
      </c>
      <c r="C470" s="3" t="str">
        <f>"裕南街街道"</f>
        <v>裕南街街道</v>
      </c>
      <c r="D470" s="3" t="str">
        <f>"杏花园社区"</f>
        <v>杏花园社区</v>
      </c>
      <c r="E470" s="3" t="str">
        <f t="shared" si="186"/>
        <v>140</v>
      </c>
      <c r="F470" s="3" t="str">
        <f t="shared" si="192"/>
        <v>100</v>
      </c>
      <c r="G470" s="3" t="str">
        <f t="shared" si="195"/>
        <v>二级</v>
      </c>
    </row>
    <row r="471" customHeight="1" spans="1:7">
      <c r="A471" s="3" t="str">
        <f>"2870"</f>
        <v>2870</v>
      </c>
      <c r="B471" s="3" t="s">
        <v>1887</v>
      </c>
      <c r="C471" s="3" t="str">
        <f>"先锋街道"</f>
        <v>先锋街道</v>
      </c>
      <c r="D471" s="3" t="str">
        <f>"嘉和社区"</f>
        <v>嘉和社区</v>
      </c>
      <c r="E471" s="3" t="str">
        <f t="shared" si="186"/>
        <v>140</v>
      </c>
      <c r="F471" s="3" t="str">
        <f t="shared" si="192"/>
        <v>100</v>
      </c>
      <c r="G471" s="3" t="str">
        <f t="shared" ref="G471:G475" si="196">"一级"</f>
        <v>一级</v>
      </c>
    </row>
    <row r="472" customHeight="1" spans="1:7">
      <c r="A472" s="3" t="str">
        <f>"2871"</f>
        <v>2871</v>
      </c>
      <c r="B472" s="3" t="s">
        <v>1949</v>
      </c>
      <c r="C472" s="3" t="str">
        <f t="shared" ref="C472:C478" si="197">"黑石铺街道"</f>
        <v>黑石铺街道</v>
      </c>
      <c r="D472" s="3" t="str">
        <f t="shared" ref="D472:D478" si="198">"黑石铺社区"</f>
        <v>黑石铺社区</v>
      </c>
      <c r="E472" s="3" t="str">
        <f t="shared" si="186"/>
        <v>140</v>
      </c>
      <c r="F472" s="3" t="str">
        <f t="shared" si="192"/>
        <v>100</v>
      </c>
      <c r="G472" s="3" t="str">
        <f t="shared" si="195"/>
        <v>二级</v>
      </c>
    </row>
    <row r="473" customHeight="1" spans="1:7">
      <c r="A473" s="3" t="str">
        <f>"2872"</f>
        <v>2872</v>
      </c>
      <c r="B473" s="3" t="s">
        <v>875</v>
      </c>
      <c r="C473" s="3" t="str">
        <f t="shared" si="197"/>
        <v>黑石铺街道</v>
      </c>
      <c r="D473" s="3" t="str">
        <f t="shared" si="198"/>
        <v>黑石铺社区</v>
      </c>
      <c r="E473" s="3" t="str">
        <f t="shared" si="186"/>
        <v>140</v>
      </c>
      <c r="F473" s="3" t="str">
        <f t="shared" si="192"/>
        <v>100</v>
      </c>
      <c r="G473" s="3" t="str">
        <f t="shared" si="195"/>
        <v>二级</v>
      </c>
    </row>
    <row r="474" customHeight="1" spans="1:7">
      <c r="A474" s="3" t="str">
        <f>"2873"</f>
        <v>2873</v>
      </c>
      <c r="B474" s="3" t="s">
        <v>966</v>
      </c>
      <c r="C474" s="3" t="str">
        <f t="shared" si="197"/>
        <v>黑石铺街道</v>
      </c>
      <c r="D474" s="3" t="str">
        <f t="shared" si="198"/>
        <v>黑石铺社区</v>
      </c>
      <c r="E474" s="3" t="str">
        <f t="shared" si="186"/>
        <v>140</v>
      </c>
      <c r="F474" s="3" t="str">
        <f t="shared" si="192"/>
        <v>100</v>
      </c>
      <c r="G474" s="3" t="str">
        <f t="shared" si="196"/>
        <v>一级</v>
      </c>
    </row>
    <row r="475" customHeight="1" spans="1:7">
      <c r="A475" s="3" t="str">
        <f>"2874"</f>
        <v>2874</v>
      </c>
      <c r="B475" s="3" t="s">
        <v>140</v>
      </c>
      <c r="C475" s="3" t="str">
        <f t="shared" si="197"/>
        <v>黑石铺街道</v>
      </c>
      <c r="D475" s="3" t="str">
        <f t="shared" si="198"/>
        <v>黑石铺社区</v>
      </c>
      <c r="E475" s="3" t="str">
        <f t="shared" si="186"/>
        <v>140</v>
      </c>
      <c r="F475" s="3" t="str">
        <f t="shared" si="192"/>
        <v>100</v>
      </c>
      <c r="G475" s="3" t="str">
        <f t="shared" si="196"/>
        <v>一级</v>
      </c>
    </row>
    <row r="476" customHeight="1" spans="1:7">
      <c r="A476" s="3" t="str">
        <f>"2875"</f>
        <v>2875</v>
      </c>
      <c r="B476" s="3" t="s">
        <v>1383</v>
      </c>
      <c r="C476" s="3" t="str">
        <f t="shared" si="197"/>
        <v>黑石铺街道</v>
      </c>
      <c r="D476" s="3" t="str">
        <f t="shared" si="198"/>
        <v>黑石铺社区</v>
      </c>
      <c r="E476" s="3" t="str">
        <f t="shared" si="186"/>
        <v>140</v>
      </c>
      <c r="F476" s="3" t="str">
        <f t="shared" si="192"/>
        <v>100</v>
      </c>
      <c r="G476" s="3" t="str">
        <f t="shared" ref="G476:G481" si="199">"二级"</f>
        <v>二级</v>
      </c>
    </row>
    <row r="477" customHeight="1" spans="1:7">
      <c r="A477" s="3" t="str">
        <f>"2876"</f>
        <v>2876</v>
      </c>
      <c r="B477" s="3" t="s">
        <v>266</v>
      </c>
      <c r="C477" s="3" t="str">
        <f t="shared" si="197"/>
        <v>黑石铺街道</v>
      </c>
      <c r="D477" s="3" t="str">
        <f t="shared" si="198"/>
        <v>黑石铺社区</v>
      </c>
      <c r="E477" s="3" t="str">
        <f t="shared" si="186"/>
        <v>140</v>
      </c>
      <c r="F477" s="3" t="str">
        <f t="shared" ref="F477:F480" si="200">"0"</f>
        <v>0</v>
      </c>
      <c r="G477" s="3" t="str">
        <f>"四级"</f>
        <v>四级</v>
      </c>
    </row>
    <row r="478" customHeight="1" spans="1:7">
      <c r="A478" s="3" t="str">
        <f>"2877"</f>
        <v>2877</v>
      </c>
      <c r="B478" s="3" t="s">
        <v>146</v>
      </c>
      <c r="C478" s="3" t="str">
        <f t="shared" si="197"/>
        <v>黑石铺街道</v>
      </c>
      <c r="D478" s="3" t="str">
        <f t="shared" si="198"/>
        <v>黑石铺社区</v>
      </c>
      <c r="E478" s="3" t="str">
        <f t="shared" si="186"/>
        <v>140</v>
      </c>
      <c r="F478" s="3" t="str">
        <f t="shared" si="200"/>
        <v>0</v>
      </c>
      <c r="G478" s="3" t="str">
        <f t="shared" ref="G478:G483" si="201">"三级"</f>
        <v>三级</v>
      </c>
    </row>
    <row r="479" customHeight="1" spans="1:7">
      <c r="A479" s="3" t="str">
        <f>"2878"</f>
        <v>2878</v>
      </c>
      <c r="B479" s="3" t="s">
        <v>70</v>
      </c>
      <c r="C479" s="3" t="str">
        <f>"裕南街街道"</f>
        <v>裕南街街道</v>
      </c>
      <c r="D479" s="3" t="str">
        <f>"石子冲社区"</f>
        <v>石子冲社区</v>
      </c>
      <c r="E479" s="3" t="str">
        <f t="shared" si="186"/>
        <v>140</v>
      </c>
      <c r="F479" s="3" t="str">
        <f t="shared" ref="F479:F484" si="202">"100"</f>
        <v>100</v>
      </c>
      <c r="G479" s="3" t="str">
        <f t="shared" si="199"/>
        <v>二级</v>
      </c>
    </row>
    <row r="480" customHeight="1" spans="1:7">
      <c r="A480" s="3" t="str">
        <f>"2879"</f>
        <v>2879</v>
      </c>
      <c r="B480" s="3" t="s">
        <v>902</v>
      </c>
      <c r="C480" s="3" t="str">
        <f>"坡子街街道"</f>
        <v>坡子街街道</v>
      </c>
      <c r="D480" s="3" t="str">
        <f>"文庙坪社区"</f>
        <v>文庙坪社区</v>
      </c>
      <c r="E480" s="3" t="str">
        <f t="shared" si="186"/>
        <v>140</v>
      </c>
      <c r="F480" s="3" t="str">
        <f t="shared" si="200"/>
        <v>0</v>
      </c>
      <c r="G480" s="3" t="str">
        <f>"四级"</f>
        <v>四级</v>
      </c>
    </row>
    <row r="481" customHeight="1" spans="1:7">
      <c r="A481" s="3" t="str">
        <f>"2880"</f>
        <v>2880</v>
      </c>
      <c r="B481" s="3" t="s">
        <v>208</v>
      </c>
      <c r="C481" s="3" t="str">
        <f>"黑石铺街道"</f>
        <v>黑石铺街道</v>
      </c>
      <c r="D481" s="3" t="str">
        <f>"创谷社区"</f>
        <v>创谷社区</v>
      </c>
      <c r="E481" s="3" t="str">
        <f t="shared" si="186"/>
        <v>140</v>
      </c>
      <c r="F481" s="3" t="str">
        <f t="shared" si="202"/>
        <v>100</v>
      </c>
      <c r="G481" s="3" t="str">
        <f t="shared" si="199"/>
        <v>二级</v>
      </c>
    </row>
    <row r="482" customHeight="1" spans="1:7">
      <c r="A482" s="3" t="str">
        <f>"2881"</f>
        <v>2881</v>
      </c>
      <c r="B482" s="3" t="s">
        <v>1950</v>
      </c>
      <c r="C482" s="3" t="str">
        <f t="shared" ref="C482:C486" si="203">"城南路街道"</f>
        <v>城南路街道</v>
      </c>
      <c r="D482" s="3" t="str">
        <f>"燕子岭社区"</f>
        <v>燕子岭社区</v>
      </c>
      <c r="E482" s="3" t="str">
        <f t="shared" si="186"/>
        <v>140</v>
      </c>
      <c r="F482" s="3" t="str">
        <f t="shared" ref="F482:F486" si="204">"0"</f>
        <v>0</v>
      </c>
      <c r="G482" s="3" t="str">
        <f t="shared" si="201"/>
        <v>三级</v>
      </c>
    </row>
    <row r="483" customHeight="1" spans="1:7">
      <c r="A483" s="3" t="str">
        <f>"2882"</f>
        <v>2882</v>
      </c>
      <c r="B483" s="3" t="s">
        <v>1744</v>
      </c>
      <c r="C483" s="3" t="str">
        <f>"裕南街街道"</f>
        <v>裕南街街道</v>
      </c>
      <c r="D483" s="3" t="str">
        <f>"杏花园社区"</f>
        <v>杏花园社区</v>
      </c>
      <c r="E483" s="3" t="str">
        <f t="shared" si="186"/>
        <v>140</v>
      </c>
      <c r="F483" s="3" t="str">
        <f t="shared" si="204"/>
        <v>0</v>
      </c>
      <c r="G483" s="3" t="str">
        <f t="shared" si="201"/>
        <v>三级</v>
      </c>
    </row>
    <row r="484" customHeight="1" spans="1:7">
      <c r="A484" s="3" t="str">
        <f>"2883"</f>
        <v>2883</v>
      </c>
      <c r="B484" s="3" t="s">
        <v>372</v>
      </c>
      <c r="C484" s="3" t="str">
        <f>"黑石铺街道"</f>
        <v>黑石铺街道</v>
      </c>
      <c r="D484" s="3" t="str">
        <f>"铭安社区"</f>
        <v>铭安社区</v>
      </c>
      <c r="E484" s="3" t="str">
        <f t="shared" si="186"/>
        <v>140</v>
      </c>
      <c r="F484" s="3" t="str">
        <f t="shared" si="202"/>
        <v>100</v>
      </c>
      <c r="G484" s="3" t="str">
        <f>"二级"</f>
        <v>二级</v>
      </c>
    </row>
    <row r="485" customHeight="1" spans="1:7">
      <c r="A485" s="3" t="str">
        <f>"2884"</f>
        <v>2884</v>
      </c>
      <c r="B485" s="3" t="s">
        <v>139</v>
      </c>
      <c r="C485" s="3" t="str">
        <f t="shared" si="203"/>
        <v>城南路街道</v>
      </c>
      <c r="D485" s="3" t="str">
        <f>"古道巷社区"</f>
        <v>古道巷社区</v>
      </c>
      <c r="E485" s="3" t="str">
        <f t="shared" si="186"/>
        <v>140</v>
      </c>
      <c r="F485" s="3" t="str">
        <f t="shared" si="204"/>
        <v>0</v>
      </c>
      <c r="G485" s="3" t="str">
        <f t="shared" ref="G485:G492" si="205">"三级"</f>
        <v>三级</v>
      </c>
    </row>
    <row r="486" customHeight="1" spans="1:7">
      <c r="A486" s="3" t="str">
        <f>"2885"</f>
        <v>2885</v>
      </c>
      <c r="B486" s="3" t="s">
        <v>739</v>
      </c>
      <c r="C486" s="3" t="str">
        <f t="shared" si="203"/>
        <v>城南路街道</v>
      </c>
      <c r="D486" s="3" t="str">
        <f>"古道巷社区"</f>
        <v>古道巷社区</v>
      </c>
      <c r="E486" s="3" t="str">
        <f t="shared" si="186"/>
        <v>140</v>
      </c>
      <c r="F486" s="3" t="str">
        <f t="shared" si="204"/>
        <v>0</v>
      </c>
      <c r="G486" s="3" t="str">
        <f>"四级"</f>
        <v>四级</v>
      </c>
    </row>
    <row r="487" customHeight="1" spans="1:7">
      <c r="A487" s="3" t="str">
        <f>"2886"</f>
        <v>2886</v>
      </c>
      <c r="B487" s="3" t="s">
        <v>599</v>
      </c>
      <c r="C487" s="3" t="str">
        <f>"裕南街街道"</f>
        <v>裕南街街道</v>
      </c>
      <c r="D487" s="3" t="str">
        <f>"东瓜山社区"</f>
        <v>东瓜山社区</v>
      </c>
      <c r="E487" s="3" t="str">
        <f t="shared" si="186"/>
        <v>140</v>
      </c>
      <c r="F487" s="3" t="str">
        <f>"100"</f>
        <v>100</v>
      </c>
      <c r="G487" s="3" t="str">
        <f>"二级"</f>
        <v>二级</v>
      </c>
    </row>
    <row r="488" customHeight="1" spans="1:7">
      <c r="A488" s="3" t="str">
        <f>"2887"</f>
        <v>2887</v>
      </c>
      <c r="B488" s="3" t="s">
        <v>1951</v>
      </c>
      <c r="C488" s="3" t="str">
        <f>"南托街道"</f>
        <v>南托街道</v>
      </c>
      <c r="D488" s="3" t="str">
        <f>"牛角塘社区"</f>
        <v>牛角塘社区</v>
      </c>
      <c r="E488" s="3" t="str">
        <f t="shared" si="186"/>
        <v>140</v>
      </c>
      <c r="F488" s="3" t="str">
        <f>"100"</f>
        <v>100</v>
      </c>
      <c r="G488" s="3" t="str">
        <f>"一级"</f>
        <v>一级</v>
      </c>
    </row>
    <row r="489" customHeight="1" spans="1:7">
      <c r="A489" s="3" t="str">
        <f>"2888"</f>
        <v>2888</v>
      </c>
      <c r="B489" s="3" t="s">
        <v>1952</v>
      </c>
      <c r="C489" s="3" t="str">
        <f t="shared" ref="C489:C493" si="206">"暮云街道"</f>
        <v>暮云街道</v>
      </c>
      <c r="D489" s="3" t="str">
        <f>"许兴村"</f>
        <v>许兴村</v>
      </c>
      <c r="E489" s="3" t="str">
        <f t="shared" si="186"/>
        <v>140</v>
      </c>
      <c r="F489" s="3" t="str">
        <f t="shared" ref="F489:F494" si="207">"0"</f>
        <v>0</v>
      </c>
      <c r="G489" s="3" t="str">
        <f t="shared" si="205"/>
        <v>三级</v>
      </c>
    </row>
    <row r="490" customHeight="1" spans="1:7">
      <c r="A490" s="3" t="str">
        <f>"2889"</f>
        <v>2889</v>
      </c>
      <c r="B490" s="3" t="s">
        <v>1260</v>
      </c>
      <c r="C490" s="3" t="str">
        <f t="shared" ref="C490:C494" si="208">"城南路街道"</f>
        <v>城南路街道</v>
      </c>
      <c r="D490" s="3" t="str">
        <f t="shared" ref="D490:D494" si="209">"天心阁社区"</f>
        <v>天心阁社区</v>
      </c>
      <c r="E490" s="3" t="str">
        <f t="shared" si="186"/>
        <v>140</v>
      </c>
      <c r="F490" s="3" t="str">
        <f t="shared" si="207"/>
        <v>0</v>
      </c>
      <c r="G490" s="3" t="str">
        <f t="shared" si="205"/>
        <v>三级</v>
      </c>
    </row>
    <row r="491" customHeight="1" spans="1:7">
      <c r="A491" s="3" t="str">
        <f>"2890"</f>
        <v>2890</v>
      </c>
      <c r="B491" s="3" t="s">
        <v>1953</v>
      </c>
      <c r="C491" s="3" t="str">
        <f t="shared" si="208"/>
        <v>城南路街道</v>
      </c>
      <c r="D491" s="3" t="str">
        <f t="shared" si="209"/>
        <v>天心阁社区</v>
      </c>
      <c r="E491" s="3" t="str">
        <f t="shared" si="186"/>
        <v>140</v>
      </c>
      <c r="F491" s="3" t="str">
        <f t="shared" si="207"/>
        <v>0</v>
      </c>
      <c r="G491" s="3" t="str">
        <f t="shared" si="205"/>
        <v>三级</v>
      </c>
    </row>
    <row r="492" customHeight="1" spans="1:7">
      <c r="A492" s="3" t="str">
        <f>"2891"</f>
        <v>2891</v>
      </c>
      <c r="B492" s="3" t="s">
        <v>126</v>
      </c>
      <c r="C492" s="3" t="str">
        <f t="shared" si="206"/>
        <v>暮云街道</v>
      </c>
      <c r="D492" s="3" t="str">
        <f>"莲华村"</f>
        <v>莲华村</v>
      </c>
      <c r="E492" s="3" t="str">
        <f t="shared" si="186"/>
        <v>140</v>
      </c>
      <c r="F492" s="3" t="str">
        <f t="shared" si="207"/>
        <v>0</v>
      </c>
      <c r="G492" s="3" t="str">
        <f t="shared" si="205"/>
        <v>三级</v>
      </c>
    </row>
    <row r="493" customHeight="1" spans="1:7">
      <c r="A493" s="3" t="str">
        <f>"2892"</f>
        <v>2892</v>
      </c>
      <c r="B493" s="3" t="s">
        <v>1954</v>
      </c>
      <c r="C493" s="3" t="str">
        <f t="shared" si="206"/>
        <v>暮云街道</v>
      </c>
      <c r="D493" s="3" t="str">
        <f>"许兴村"</f>
        <v>许兴村</v>
      </c>
      <c r="E493" s="3" t="str">
        <f t="shared" si="186"/>
        <v>140</v>
      </c>
      <c r="F493" s="3" t="str">
        <f t="shared" si="207"/>
        <v>0</v>
      </c>
      <c r="G493" s="3" t="str">
        <f>"四级"</f>
        <v>四级</v>
      </c>
    </row>
    <row r="494" customHeight="1" spans="1:7">
      <c r="A494" s="3" t="str">
        <f>"2893"</f>
        <v>2893</v>
      </c>
      <c r="B494" s="3" t="s">
        <v>1955</v>
      </c>
      <c r="C494" s="3" t="str">
        <f t="shared" si="208"/>
        <v>城南路街道</v>
      </c>
      <c r="D494" s="3" t="str">
        <f t="shared" si="209"/>
        <v>天心阁社区</v>
      </c>
      <c r="E494" s="3" t="str">
        <f t="shared" si="186"/>
        <v>140</v>
      </c>
      <c r="F494" s="3" t="str">
        <f t="shared" si="207"/>
        <v>0</v>
      </c>
      <c r="G494" s="3" t="str">
        <f>"三级"</f>
        <v>三级</v>
      </c>
    </row>
    <row r="495" customHeight="1" spans="1:7">
      <c r="A495" s="3" t="str">
        <f>"2894"</f>
        <v>2894</v>
      </c>
      <c r="B495" s="3" t="s">
        <v>1956</v>
      </c>
      <c r="C495" s="3" t="str">
        <f>"新开铺街道"</f>
        <v>新开铺街道</v>
      </c>
      <c r="D495" s="3" t="str">
        <f>"新天社区"</f>
        <v>新天社区</v>
      </c>
      <c r="E495" s="3" t="str">
        <f t="shared" si="186"/>
        <v>140</v>
      </c>
      <c r="F495" s="3" t="str">
        <f t="shared" ref="F495:F502" si="210">"100"</f>
        <v>100</v>
      </c>
      <c r="G495" s="3" t="str">
        <f>"一级"</f>
        <v>一级</v>
      </c>
    </row>
    <row r="496" customHeight="1" spans="1:7">
      <c r="A496" s="3" t="str">
        <f>"2895"</f>
        <v>2895</v>
      </c>
      <c r="B496" s="3" t="s">
        <v>1763</v>
      </c>
      <c r="C496" s="3" t="str">
        <f>"南托街道"</f>
        <v>南托街道</v>
      </c>
      <c r="D496" s="3" t="str">
        <f>"牛角塘村"</f>
        <v>牛角塘村</v>
      </c>
      <c r="E496" s="3" t="str">
        <f t="shared" si="186"/>
        <v>140</v>
      </c>
      <c r="F496" s="3" t="str">
        <f t="shared" si="210"/>
        <v>100</v>
      </c>
      <c r="G496" s="3" t="str">
        <f t="shared" ref="G496:G501" si="211">"二级"</f>
        <v>二级</v>
      </c>
    </row>
    <row r="497" customHeight="1" spans="1:7">
      <c r="A497" s="3" t="str">
        <f>"2896"</f>
        <v>2896</v>
      </c>
      <c r="B497" s="3" t="s">
        <v>1139</v>
      </c>
      <c r="C497" s="3" t="str">
        <f>"大托铺街道"</f>
        <v>大托铺街道</v>
      </c>
      <c r="D497" s="3" t="str">
        <f>"新港村委会"</f>
        <v>新港村委会</v>
      </c>
      <c r="E497" s="3" t="str">
        <f t="shared" si="186"/>
        <v>140</v>
      </c>
      <c r="F497" s="3" t="str">
        <f t="shared" si="210"/>
        <v>100</v>
      </c>
      <c r="G497" s="3" t="str">
        <f t="shared" si="211"/>
        <v>二级</v>
      </c>
    </row>
    <row r="498" customHeight="1" spans="1:7">
      <c r="A498" s="3" t="str">
        <f>"2897"</f>
        <v>2897</v>
      </c>
      <c r="B498" s="3" t="s">
        <v>1957</v>
      </c>
      <c r="C498" s="3" t="str">
        <f>"赤岭路街道"</f>
        <v>赤岭路街道</v>
      </c>
      <c r="D498" s="3" t="str">
        <f>"新丰社区"</f>
        <v>新丰社区</v>
      </c>
      <c r="E498" s="3" t="str">
        <f t="shared" si="186"/>
        <v>140</v>
      </c>
      <c r="F498" s="3" t="str">
        <f t="shared" si="210"/>
        <v>100</v>
      </c>
      <c r="G498" s="3" t="str">
        <f>"一级"</f>
        <v>一级</v>
      </c>
    </row>
    <row r="499" customHeight="1" spans="1:7">
      <c r="A499" s="3" t="str">
        <f>"2898"</f>
        <v>2898</v>
      </c>
      <c r="B499" s="3" t="s">
        <v>797</v>
      </c>
      <c r="C499" s="3" t="str">
        <f t="shared" ref="C499:C504" si="212">"金盆岭街道"</f>
        <v>金盆岭街道</v>
      </c>
      <c r="D499" s="3" t="str">
        <f>"涂新社区"</f>
        <v>涂新社区</v>
      </c>
      <c r="E499" s="3" t="str">
        <f t="shared" si="186"/>
        <v>140</v>
      </c>
      <c r="F499" s="3" t="str">
        <f t="shared" si="210"/>
        <v>100</v>
      </c>
      <c r="G499" s="3" t="str">
        <f t="shared" si="211"/>
        <v>二级</v>
      </c>
    </row>
    <row r="500" customHeight="1" spans="1:7">
      <c r="A500" s="3" t="str">
        <f>"2899"</f>
        <v>2899</v>
      </c>
      <c r="B500" s="3" t="s">
        <v>1958</v>
      </c>
      <c r="C500" s="3" t="str">
        <f>"大托铺街道"</f>
        <v>大托铺街道</v>
      </c>
      <c r="D500" s="3" t="str">
        <f>"新港村委会"</f>
        <v>新港村委会</v>
      </c>
      <c r="E500" s="3" t="str">
        <f t="shared" si="186"/>
        <v>140</v>
      </c>
      <c r="F500" s="3" t="str">
        <f t="shared" si="210"/>
        <v>100</v>
      </c>
      <c r="G500" s="3" t="str">
        <f t="shared" si="211"/>
        <v>二级</v>
      </c>
    </row>
    <row r="501" customHeight="1" spans="1:7">
      <c r="A501" s="3" t="str">
        <f>"2900"</f>
        <v>2900</v>
      </c>
      <c r="B501" s="3" t="s">
        <v>1959</v>
      </c>
      <c r="C501" s="3" t="str">
        <f>"城南路街道"</f>
        <v>城南路街道</v>
      </c>
      <c r="D501" s="3" t="str">
        <f>"燕子岭社区"</f>
        <v>燕子岭社区</v>
      </c>
      <c r="E501" s="3" t="str">
        <f t="shared" si="186"/>
        <v>140</v>
      </c>
      <c r="F501" s="3" t="str">
        <f t="shared" si="210"/>
        <v>100</v>
      </c>
      <c r="G501" s="3" t="str">
        <f t="shared" si="211"/>
        <v>二级</v>
      </c>
    </row>
    <row r="502" customHeight="1" spans="1:7">
      <c r="A502" s="3" t="str">
        <f>"2901"</f>
        <v>2901</v>
      </c>
      <c r="B502" s="3" t="s">
        <v>1960</v>
      </c>
      <c r="C502" s="3" t="str">
        <f>"城南路街道"</f>
        <v>城南路街道</v>
      </c>
      <c r="D502" s="3" t="str">
        <f>"燕子岭社区"</f>
        <v>燕子岭社区</v>
      </c>
      <c r="E502" s="3" t="str">
        <f t="shared" si="186"/>
        <v>140</v>
      </c>
      <c r="F502" s="3" t="str">
        <f t="shared" si="210"/>
        <v>100</v>
      </c>
      <c r="G502" s="3" t="str">
        <f>"一级"</f>
        <v>一级</v>
      </c>
    </row>
    <row r="503" customHeight="1" spans="1:7">
      <c r="A503" s="3" t="str">
        <f>"2902"</f>
        <v>2902</v>
      </c>
      <c r="B503" s="3" t="s">
        <v>76</v>
      </c>
      <c r="C503" s="3" t="str">
        <f t="shared" si="212"/>
        <v>金盆岭街道</v>
      </c>
      <c r="D503" s="3" t="str">
        <f>"黄土岭社区"</f>
        <v>黄土岭社区</v>
      </c>
      <c r="E503" s="3" t="str">
        <f t="shared" si="186"/>
        <v>140</v>
      </c>
      <c r="F503" s="3" t="str">
        <f>"0"</f>
        <v>0</v>
      </c>
      <c r="G503" s="3" t="str">
        <f>"三级"</f>
        <v>三级</v>
      </c>
    </row>
    <row r="504" customHeight="1" spans="1:7">
      <c r="A504" s="3" t="str">
        <f>"2903"</f>
        <v>2903</v>
      </c>
      <c r="B504" s="3" t="s">
        <v>32</v>
      </c>
      <c r="C504" s="3" t="str">
        <f t="shared" si="212"/>
        <v>金盆岭街道</v>
      </c>
      <c r="D504" s="3" t="str">
        <f>"夏家冲社区"</f>
        <v>夏家冲社区</v>
      </c>
      <c r="E504" s="3" t="str">
        <f t="shared" si="186"/>
        <v>140</v>
      </c>
      <c r="F504" s="3" t="str">
        <f t="shared" ref="F504:F506" si="213">"100"</f>
        <v>100</v>
      </c>
      <c r="G504" s="3" t="str">
        <f t="shared" ref="G504:G514" si="214">"二级"</f>
        <v>二级</v>
      </c>
    </row>
    <row r="505" customHeight="1" spans="1:7">
      <c r="A505" s="3" t="str">
        <f>"2904"</f>
        <v>2904</v>
      </c>
      <c r="B505" s="3" t="s">
        <v>1961</v>
      </c>
      <c r="C505" s="3" t="str">
        <f>"文源街道"</f>
        <v>文源街道</v>
      </c>
      <c r="D505" s="3" t="str">
        <f>"金汇社区"</f>
        <v>金汇社区</v>
      </c>
      <c r="E505" s="3" t="str">
        <f t="shared" si="186"/>
        <v>140</v>
      </c>
      <c r="F505" s="3" t="str">
        <f t="shared" si="213"/>
        <v>100</v>
      </c>
      <c r="G505" s="3" t="str">
        <f t="shared" si="214"/>
        <v>二级</v>
      </c>
    </row>
    <row r="506" customHeight="1" spans="1:7">
      <c r="A506" s="3" t="str">
        <f>"2905"</f>
        <v>2905</v>
      </c>
      <c r="B506" s="3" t="s">
        <v>233</v>
      </c>
      <c r="C506" s="3" t="str">
        <f>"文源街道"</f>
        <v>文源街道</v>
      </c>
      <c r="D506" s="3" t="str">
        <f>"梅岭社区"</f>
        <v>梅岭社区</v>
      </c>
      <c r="E506" s="3" t="str">
        <f t="shared" si="186"/>
        <v>140</v>
      </c>
      <c r="F506" s="3" t="str">
        <f t="shared" si="213"/>
        <v>100</v>
      </c>
      <c r="G506" s="3" t="str">
        <f>"一级"</f>
        <v>一级</v>
      </c>
    </row>
    <row r="507" customHeight="1" spans="1:7">
      <c r="A507" s="3" t="str">
        <f>"2906"</f>
        <v>2906</v>
      </c>
      <c r="B507" s="3" t="s">
        <v>721</v>
      </c>
      <c r="C507" s="3" t="str">
        <f>"裕南街街道"</f>
        <v>裕南街街道</v>
      </c>
      <c r="D507" s="3" t="str">
        <f>"裕南街社区"</f>
        <v>裕南街社区</v>
      </c>
      <c r="E507" s="3" t="str">
        <f t="shared" si="186"/>
        <v>140</v>
      </c>
      <c r="F507" s="3" t="str">
        <f>"0"</f>
        <v>0</v>
      </c>
      <c r="G507" s="3" t="str">
        <f>"四级"</f>
        <v>四级</v>
      </c>
    </row>
    <row r="508" customHeight="1" spans="1:7">
      <c r="A508" s="3" t="str">
        <f>"2907"</f>
        <v>2907</v>
      </c>
      <c r="B508" s="3" t="s">
        <v>76</v>
      </c>
      <c r="C508" s="3" t="str">
        <f t="shared" ref="C508:C510" si="215">"新开铺街道"</f>
        <v>新开铺街道</v>
      </c>
      <c r="D508" s="3" t="str">
        <f>"新天社区"</f>
        <v>新天社区</v>
      </c>
      <c r="E508" s="3" t="str">
        <f t="shared" si="186"/>
        <v>140</v>
      </c>
      <c r="F508" s="3" t="str">
        <f t="shared" ref="F508:F520" si="216">"100"</f>
        <v>100</v>
      </c>
      <c r="G508" s="3" t="str">
        <f>"一级"</f>
        <v>一级</v>
      </c>
    </row>
    <row r="509" customHeight="1" spans="1:7">
      <c r="A509" s="3" t="str">
        <f>"2908"</f>
        <v>2908</v>
      </c>
      <c r="B509" s="3" t="s">
        <v>80</v>
      </c>
      <c r="C509" s="3" t="str">
        <f t="shared" si="215"/>
        <v>新开铺街道</v>
      </c>
      <c r="D509" s="3" t="str">
        <f>"新开铺社区"</f>
        <v>新开铺社区</v>
      </c>
      <c r="E509" s="3" t="str">
        <f t="shared" si="186"/>
        <v>140</v>
      </c>
      <c r="F509" s="3" t="str">
        <f t="shared" si="216"/>
        <v>100</v>
      </c>
      <c r="G509" s="3" t="str">
        <f t="shared" si="214"/>
        <v>二级</v>
      </c>
    </row>
    <row r="510" customHeight="1" spans="1:7">
      <c r="A510" s="3" t="str">
        <f>"2909"</f>
        <v>2909</v>
      </c>
      <c r="B510" s="3" t="s">
        <v>1962</v>
      </c>
      <c r="C510" s="3" t="str">
        <f t="shared" si="215"/>
        <v>新开铺街道</v>
      </c>
      <c r="D510" s="3" t="str">
        <f>"新开铺社区"</f>
        <v>新开铺社区</v>
      </c>
      <c r="E510" s="3" t="str">
        <f t="shared" si="186"/>
        <v>140</v>
      </c>
      <c r="F510" s="3" t="str">
        <f t="shared" si="216"/>
        <v>100</v>
      </c>
      <c r="G510" s="3" t="str">
        <f t="shared" si="214"/>
        <v>二级</v>
      </c>
    </row>
    <row r="511" customHeight="1" spans="1:7">
      <c r="A511" s="3" t="str">
        <f>"2910"</f>
        <v>2910</v>
      </c>
      <c r="B511" s="3" t="s">
        <v>1963</v>
      </c>
      <c r="C511" s="3" t="str">
        <f>"坡子街街道"</f>
        <v>坡子街街道</v>
      </c>
      <c r="D511" s="3" t="str">
        <f>"创远社区"</f>
        <v>创远社区</v>
      </c>
      <c r="E511" s="3" t="str">
        <f t="shared" si="186"/>
        <v>140</v>
      </c>
      <c r="F511" s="3" t="str">
        <f t="shared" si="216"/>
        <v>100</v>
      </c>
      <c r="G511" s="3" t="str">
        <f t="shared" si="214"/>
        <v>二级</v>
      </c>
    </row>
    <row r="512" customHeight="1" spans="1:7">
      <c r="A512" s="3" t="str">
        <f>"2911"</f>
        <v>2911</v>
      </c>
      <c r="B512" s="3" t="s">
        <v>1519</v>
      </c>
      <c r="C512" s="3" t="str">
        <f>"南托街道"</f>
        <v>南托街道</v>
      </c>
      <c r="D512" s="3" t="str">
        <f>"牛角塘村"</f>
        <v>牛角塘村</v>
      </c>
      <c r="E512" s="3" t="str">
        <f t="shared" si="186"/>
        <v>140</v>
      </c>
      <c r="F512" s="3" t="str">
        <f t="shared" si="216"/>
        <v>100</v>
      </c>
      <c r="G512" s="3" t="str">
        <f t="shared" si="214"/>
        <v>二级</v>
      </c>
    </row>
    <row r="513" customHeight="1" spans="1:7">
      <c r="A513" s="3" t="str">
        <f>"2912"</f>
        <v>2912</v>
      </c>
      <c r="B513" s="3" t="s">
        <v>1964</v>
      </c>
      <c r="C513" s="3" t="str">
        <f>"金盆岭街道"</f>
        <v>金盆岭街道</v>
      </c>
      <c r="D513" s="3" t="str">
        <f>"赤岭路社区"</f>
        <v>赤岭路社区</v>
      </c>
      <c r="E513" s="3" t="str">
        <f t="shared" si="186"/>
        <v>140</v>
      </c>
      <c r="F513" s="3" t="str">
        <f t="shared" si="216"/>
        <v>100</v>
      </c>
      <c r="G513" s="3" t="str">
        <f t="shared" si="214"/>
        <v>二级</v>
      </c>
    </row>
    <row r="514" customHeight="1" spans="1:7">
      <c r="A514" s="3" t="str">
        <f>"2913"</f>
        <v>2913</v>
      </c>
      <c r="B514" s="3" t="s">
        <v>1965</v>
      </c>
      <c r="C514" s="3" t="str">
        <f>"南托街道"</f>
        <v>南托街道</v>
      </c>
      <c r="D514" s="3" t="str">
        <f>"牛角塘村"</f>
        <v>牛角塘村</v>
      </c>
      <c r="E514" s="3" t="str">
        <f t="shared" ref="E514:E577" si="217">"140"</f>
        <v>140</v>
      </c>
      <c r="F514" s="3" t="str">
        <f t="shared" si="216"/>
        <v>100</v>
      </c>
      <c r="G514" s="3" t="str">
        <f t="shared" si="214"/>
        <v>二级</v>
      </c>
    </row>
    <row r="515" customHeight="1" spans="1:7">
      <c r="A515" s="3" t="str">
        <f>"2914"</f>
        <v>2914</v>
      </c>
      <c r="B515" s="3" t="s">
        <v>1966</v>
      </c>
      <c r="C515" s="3" t="str">
        <f>"赤岭路街道"</f>
        <v>赤岭路街道</v>
      </c>
      <c r="D515" s="3" t="str">
        <f>"白沙花园社区"</f>
        <v>白沙花园社区</v>
      </c>
      <c r="E515" s="3" t="str">
        <f t="shared" si="217"/>
        <v>140</v>
      </c>
      <c r="F515" s="3" t="str">
        <f t="shared" si="216"/>
        <v>100</v>
      </c>
      <c r="G515" s="3" t="str">
        <f>"一级"</f>
        <v>一级</v>
      </c>
    </row>
    <row r="516" customHeight="1" spans="1:7">
      <c r="A516" s="3" t="str">
        <f>"2915"</f>
        <v>2915</v>
      </c>
      <c r="B516" s="3" t="s">
        <v>1967</v>
      </c>
      <c r="C516" s="3" t="str">
        <f t="shared" ref="C516:C518" si="218">"裕南街街道"</f>
        <v>裕南街街道</v>
      </c>
      <c r="D516" s="3" t="str">
        <f>"东瓜山社区"</f>
        <v>东瓜山社区</v>
      </c>
      <c r="E516" s="3" t="str">
        <f t="shared" si="217"/>
        <v>140</v>
      </c>
      <c r="F516" s="3" t="str">
        <f t="shared" si="216"/>
        <v>100</v>
      </c>
      <c r="G516" s="3" t="str">
        <f t="shared" ref="G516:G519" si="219">"二级"</f>
        <v>二级</v>
      </c>
    </row>
    <row r="517" customHeight="1" spans="1:7">
      <c r="A517" s="3" t="str">
        <f>"2916"</f>
        <v>2916</v>
      </c>
      <c r="B517" s="3" t="s">
        <v>1968</v>
      </c>
      <c r="C517" s="3" t="str">
        <f t="shared" si="218"/>
        <v>裕南街街道</v>
      </c>
      <c r="D517" s="3" t="str">
        <f>"裕南街社区"</f>
        <v>裕南街社区</v>
      </c>
      <c r="E517" s="3" t="str">
        <f t="shared" si="217"/>
        <v>140</v>
      </c>
      <c r="F517" s="3" t="str">
        <f t="shared" si="216"/>
        <v>100</v>
      </c>
      <c r="G517" s="3" t="str">
        <f t="shared" si="219"/>
        <v>二级</v>
      </c>
    </row>
    <row r="518" customHeight="1" spans="1:7">
      <c r="A518" s="3" t="str">
        <f>"2917"</f>
        <v>2917</v>
      </c>
      <c r="B518" s="3" t="s">
        <v>1306</v>
      </c>
      <c r="C518" s="3" t="str">
        <f t="shared" si="218"/>
        <v>裕南街街道</v>
      </c>
      <c r="D518" s="3" t="str">
        <f>"碧沙湖社区"</f>
        <v>碧沙湖社区</v>
      </c>
      <c r="E518" s="3" t="str">
        <f t="shared" si="217"/>
        <v>140</v>
      </c>
      <c r="F518" s="3" t="str">
        <f t="shared" si="216"/>
        <v>100</v>
      </c>
      <c r="G518" s="3" t="str">
        <f t="shared" si="219"/>
        <v>二级</v>
      </c>
    </row>
    <row r="519" customHeight="1" spans="1:7">
      <c r="A519" s="3" t="str">
        <f>"2918"</f>
        <v>2918</v>
      </c>
      <c r="B519" s="3" t="s">
        <v>1969</v>
      </c>
      <c r="C519" s="3" t="str">
        <f>"坡子街街道"</f>
        <v>坡子街街道</v>
      </c>
      <c r="D519" s="3" t="str">
        <f>"坡子街社区"</f>
        <v>坡子街社区</v>
      </c>
      <c r="E519" s="3" t="str">
        <f t="shared" si="217"/>
        <v>140</v>
      </c>
      <c r="F519" s="3" t="str">
        <f t="shared" si="216"/>
        <v>100</v>
      </c>
      <c r="G519" s="3" t="str">
        <f t="shared" si="219"/>
        <v>二级</v>
      </c>
    </row>
    <row r="520" customHeight="1" spans="1:7">
      <c r="A520" s="3" t="str">
        <f>"2919"</f>
        <v>2919</v>
      </c>
      <c r="B520" s="3" t="s">
        <v>1970</v>
      </c>
      <c r="C520" s="3" t="str">
        <f>"南托街道"</f>
        <v>南托街道</v>
      </c>
      <c r="D520" s="3" t="str">
        <f>"牛角塘村"</f>
        <v>牛角塘村</v>
      </c>
      <c r="E520" s="3" t="str">
        <f t="shared" si="217"/>
        <v>140</v>
      </c>
      <c r="F520" s="3" t="str">
        <f t="shared" si="216"/>
        <v>100</v>
      </c>
      <c r="G520" s="3" t="str">
        <f>"一级"</f>
        <v>一级</v>
      </c>
    </row>
    <row r="521" customHeight="1" spans="1:7">
      <c r="A521" s="3" t="str">
        <f>"2920"</f>
        <v>2920</v>
      </c>
      <c r="B521" s="3" t="s">
        <v>238</v>
      </c>
      <c r="C521" s="3" t="str">
        <f>"文源街道"</f>
        <v>文源街道</v>
      </c>
      <c r="D521" s="3" t="str">
        <f>"天鸿社区"</f>
        <v>天鸿社区</v>
      </c>
      <c r="E521" s="3" t="str">
        <f t="shared" si="217"/>
        <v>140</v>
      </c>
      <c r="F521" s="3" t="str">
        <f>"0"</f>
        <v>0</v>
      </c>
      <c r="G521" s="3" t="str">
        <f>"四级"</f>
        <v>四级</v>
      </c>
    </row>
    <row r="522" customHeight="1" spans="1:7">
      <c r="A522" s="3" t="str">
        <f>"2921"</f>
        <v>2921</v>
      </c>
      <c r="B522" s="3" t="s">
        <v>1971</v>
      </c>
      <c r="C522" s="3" t="str">
        <f t="shared" ref="C522:C524" si="220">"裕南街街道"</f>
        <v>裕南街街道</v>
      </c>
      <c r="D522" s="3" t="str">
        <f>"杏花园社区"</f>
        <v>杏花园社区</v>
      </c>
      <c r="E522" s="3" t="str">
        <f t="shared" si="217"/>
        <v>140</v>
      </c>
      <c r="F522" s="3" t="str">
        <f t="shared" ref="F522:F526" si="221">"100"</f>
        <v>100</v>
      </c>
      <c r="G522" s="3" t="str">
        <f>"二级"</f>
        <v>二级</v>
      </c>
    </row>
    <row r="523" customHeight="1" spans="1:7">
      <c r="A523" s="3" t="str">
        <f>"2922"</f>
        <v>2922</v>
      </c>
      <c r="B523" s="3" t="s">
        <v>1972</v>
      </c>
      <c r="C523" s="3" t="str">
        <f t="shared" si="220"/>
        <v>裕南街街道</v>
      </c>
      <c r="D523" s="3" t="str">
        <f>"东瓜山社区"</f>
        <v>东瓜山社区</v>
      </c>
      <c r="E523" s="3" t="str">
        <f t="shared" si="217"/>
        <v>140</v>
      </c>
      <c r="F523" s="3" t="str">
        <f t="shared" si="221"/>
        <v>100</v>
      </c>
      <c r="G523" s="3" t="str">
        <f>"一级"</f>
        <v>一级</v>
      </c>
    </row>
    <row r="524" customHeight="1" spans="1:7">
      <c r="A524" s="3" t="str">
        <f>"2923"</f>
        <v>2923</v>
      </c>
      <c r="B524" s="3" t="s">
        <v>1973</v>
      </c>
      <c r="C524" s="3" t="str">
        <f t="shared" si="220"/>
        <v>裕南街街道</v>
      </c>
      <c r="D524" s="3" t="str">
        <f>"火把山社区"</f>
        <v>火把山社区</v>
      </c>
      <c r="E524" s="3" t="str">
        <f t="shared" si="217"/>
        <v>140</v>
      </c>
      <c r="F524" s="3" t="str">
        <f>"0"</f>
        <v>0</v>
      </c>
      <c r="G524" s="3" t="str">
        <f>"四级"</f>
        <v>四级</v>
      </c>
    </row>
    <row r="525" customHeight="1" spans="1:7">
      <c r="A525" s="3" t="str">
        <f>"2924"</f>
        <v>2924</v>
      </c>
      <c r="B525" s="3" t="s">
        <v>1974</v>
      </c>
      <c r="C525" s="3" t="str">
        <f>"赤岭路街道"</f>
        <v>赤岭路街道</v>
      </c>
      <c r="D525" s="3" t="str">
        <f>"广厦新村社区"</f>
        <v>广厦新村社区</v>
      </c>
      <c r="E525" s="3" t="str">
        <f t="shared" si="217"/>
        <v>140</v>
      </c>
      <c r="F525" s="3" t="str">
        <f t="shared" si="221"/>
        <v>100</v>
      </c>
      <c r="G525" s="3" t="str">
        <f t="shared" ref="G525:G529" si="222">"二级"</f>
        <v>二级</v>
      </c>
    </row>
    <row r="526" customHeight="1" spans="1:7">
      <c r="A526" s="3" t="str">
        <f>"2925"</f>
        <v>2925</v>
      </c>
      <c r="B526" s="3" t="s">
        <v>1975</v>
      </c>
      <c r="C526" s="3" t="str">
        <f>"桂花坪街道"</f>
        <v>桂花坪街道</v>
      </c>
      <c r="D526" s="3" t="str">
        <f>"新园社区"</f>
        <v>新园社区</v>
      </c>
      <c r="E526" s="3" t="str">
        <f t="shared" si="217"/>
        <v>140</v>
      </c>
      <c r="F526" s="3" t="str">
        <f t="shared" si="221"/>
        <v>100</v>
      </c>
      <c r="G526" s="3" t="str">
        <f>"一级"</f>
        <v>一级</v>
      </c>
    </row>
    <row r="527" customHeight="1" spans="1:7">
      <c r="A527" s="3" t="str">
        <f>"2926"</f>
        <v>2926</v>
      </c>
      <c r="B527" s="3" t="s">
        <v>1976</v>
      </c>
      <c r="C527" s="3" t="str">
        <f>"裕南街街道"</f>
        <v>裕南街街道</v>
      </c>
      <c r="D527" s="3" t="str">
        <f>"石子冲社区"</f>
        <v>石子冲社区</v>
      </c>
      <c r="E527" s="3" t="str">
        <f t="shared" si="217"/>
        <v>140</v>
      </c>
      <c r="F527" s="3" t="str">
        <f>"0"</f>
        <v>0</v>
      </c>
      <c r="G527" s="3" t="str">
        <f>"四级"</f>
        <v>四级</v>
      </c>
    </row>
    <row r="528" customHeight="1" spans="1:7">
      <c r="A528" s="3" t="str">
        <f>"2927"</f>
        <v>2927</v>
      </c>
      <c r="B528" s="3" t="s">
        <v>28</v>
      </c>
      <c r="C528" s="3" t="str">
        <f>"城南路街道"</f>
        <v>城南路街道</v>
      </c>
      <c r="D528" s="3" t="str">
        <f>"古道巷社区"</f>
        <v>古道巷社区</v>
      </c>
      <c r="E528" s="3" t="str">
        <f t="shared" si="217"/>
        <v>140</v>
      </c>
      <c r="F528" s="3" t="str">
        <f t="shared" ref="F528:F530" si="223">"100"</f>
        <v>100</v>
      </c>
      <c r="G528" s="3" t="str">
        <f t="shared" si="222"/>
        <v>二级</v>
      </c>
    </row>
    <row r="529" customHeight="1" spans="1:7">
      <c r="A529" s="3" t="str">
        <f>"2928"</f>
        <v>2928</v>
      </c>
      <c r="B529" s="3" t="s">
        <v>1977</v>
      </c>
      <c r="C529" s="3" t="str">
        <f>"赤岭路街道"</f>
        <v>赤岭路街道</v>
      </c>
      <c r="D529" s="3" t="str">
        <f>"芙蓉南路社区"</f>
        <v>芙蓉南路社区</v>
      </c>
      <c r="E529" s="3" t="str">
        <f t="shared" si="217"/>
        <v>140</v>
      </c>
      <c r="F529" s="3" t="str">
        <f t="shared" si="223"/>
        <v>100</v>
      </c>
      <c r="G529" s="3" t="str">
        <f t="shared" si="222"/>
        <v>二级</v>
      </c>
    </row>
    <row r="530" customHeight="1" spans="1:7">
      <c r="A530" s="3" t="str">
        <f>"2929"</f>
        <v>2929</v>
      </c>
      <c r="B530" s="3" t="s">
        <v>1978</v>
      </c>
      <c r="C530" s="3" t="str">
        <f>"黑石铺街道"</f>
        <v>黑石铺街道</v>
      </c>
      <c r="D530" s="3" t="str">
        <f>"一力社区"</f>
        <v>一力社区</v>
      </c>
      <c r="E530" s="3" t="str">
        <f t="shared" si="217"/>
        <v>140</v>
      </c>
      <c r="F530" s="3" t="str">
        <f t="shared" si="223"/>
        <v>100</v>
      </c>
      <c r="G530" s="3" t="str">
        <f>"一级"</f>
        <v>一级</v>
      </c>
    </row>
    <row r="531" customHeight="1" spans="1:7">
      <c r="A531" s="3" t="str">
        <f>"2930"</f>
        <v>2930</v>
      </c>
      <c r="B531" s="3" t="s">
        <v>1979</v>
      </c>
      <c r="C531" s="3" t="str">
        <f>"暮云街道"</f>
        <v>暮云街道</v>
      </c>
      <c r="D531" s="3" t="str">
        <f>"莲华村"</f>
        <v>莲华村</v>
      </c>
      <c r="E531" s="3" t="str">
        <f t="shared" si="217"/>
        <v>140</v>
      </c>
      <c r="F531" s="3" t="str">
        <f>"0"</f>
        <v>0</v>
      </c>
      <c r="G531" s="3" t="str">
        <f>"三级"</f>
        <v>三级</v>
      </c>
    </row>
    <row r="532" customHeight="1" spans="1:7">
      <c r="A532" s="3" t="str">
        <f>"2931"</f>
        <v>2931</v>
      </c>
      <c r="B532" s="3" t="s">
        <v>1980</v>
      </c>
      <c r="C532" s="3" t="str">
        <f>"赤岭路街道"</f>
        <v>赤岭路街道</v>
      </c>
      <c r="D532" s="3" t="str">
        <f>"广厦新村社区"</f>
        <v>广厦新村社区</v>
      </c>
      <c r="E532" s="3" t="str">
        <f t="shared" si="217"/>
        <v>140</v>
      </c>
      <c r="F532" s="3" t="str">
        <f t="shared" ref="F532:F548" si="224">"100"</f>
        <v>100</v>
      </c>
      <c r="G532" s="3" t="str">
        <f t="shared" ref="G532:G542" si="225">"二级"</f>
        <v>二级</v>
      </c>
    </row>
    <row r="533" customHeight="1" spans="1:7">
      <c r="A533" s="3" t="str">
        <f>"2932"</f>
        <v>2932</v>
      </c>
      <c r="B533" s="3" t="s">
        <v>1981</v>
      </c>
      <c r="C533" s="3" t="str">
        <f>"坡子街街道"</f>
        <v>坡子街街道</v>
      </c>
      <c r="D533" s="3" t="str">
        <f>"登仁桥社区"</f>
        <v>登仁桥社区</v>
      </c>
      <c r="E533" s="3" t="str">
        <f t="shared" si="217"/>
        <v>140</v>
      </c>
      <c r="F533" s="3" t="str">
        <f>"0"</f>
        <v>0</v>
      </c>
      <c r="G533" s="3" t="str">
        <f>"四级"</f>
        <v>四级</v>
      </c>
    </row>
    <row r="534" customHeight="1" spans="1:7">
      <c r="A534" s="3" t="str">
        <f>"2933"</f>
        <v>2933</v>
      </c>
      <c r="B534" s="3" t="s">
        <v>1982</v>
      </c>
      <c r="C534" s="3" t="str">
        <f>"裕南街街道"</f>
        <v>裕南街街道</v>
      </c>
      <c r="D534" s="3" t="str">
        <f>"向东南社区"</f>
        <v>向东南社区</v>
      </c>
      <c r="E534" s="3" t="str">
        <f t="shared" si="217"/>
        <v>140</v>
      </c>
      <c r="F534" s="3" t="str">
        <f t="shared" si="224"/>
        <v>100</v>
      </c>
      <c r="G534" s="3" t="str">
        <f t="shared" si="225"/>
        <v>二级</v>
      </c>
    </row>
    <row r="535" customHeight="1" spans="1:7">
      <c r="A535" s="3" t="str">
        <f>"2934"</f>
        <v>2934</v>
      </c>
      <c r="B535" s="3" t="s">
        <v>607</v>
      </c>
      <c r="C535" s="3" t="str">
        <f>"裕南街街道"</f>
        <v>裕南街街道</v>
      </c>
      <c r="D535" s="3" t="str">
        <f>"向东南社区"</f>
        <v>向东南社区</v>
      </c>
      <c r="E535" s="3" t="str">
        <f t="shared" si="217"/>
        <v>140</v>
      </c>
      <c r="F535" s="3" t="str">
        <f t="shared" si="224"/>
        <v>100</v>
      </c>
      <c r="G535" s="3" t="str">
        <f t="shared" si="225"/>
        <v>二级</v>
      </c>
    </row>
    <row r="536" customHeight="1" spans="1:7">
      <c r="A536" s="3" t="str">
        <f>"2935"</f>
        <v>2935</v>
      </c>
      <c r="B536" s="3" t="s">
        <v>267</v>
      </c>
      <c r="C536" s="3" t="str">
        <f>"南托街道"</f>
        <v>南托街道</v>
      </c>
      <c r="D536" s="3" t="str">
        <f>"牛角塘村"</f>
        <v>牛角塘村</v>
      </c>
      <c r="E536" s="3" t="str">
        <f t="shared" si="217"/>
        <v>140</v>
      </c>
      <c r="F536" s="3" t="str">
        <f t="shared" si="224"/>
        <v>100</v>
      </c>
      <c r="G536" s="3" t="str">
        <f t="shared" si="225"/>
        <v>二级</v>
      </c>
    </row>
    <row r="537" customHeight="1" spans="1:7">
      <c r="A537" s="3" t="str">
        <f>"2936"</f>
        <v>2936</v>
      </c>
      <c r="B537" s="3" t="s">
        <v>797</v>
      </c>
      <c r="C537" s="3" t="str">
        <f>"赤岭路街道"</f>
        <v>赤岭路街道</v>
      </c>
      <c r="D537" s="3" t="str">
        <f>"南大桥社区"</f>
        <v>南大桥社区</v>
      </c>
      <c r="E537" s="3" t="str">
        <f t="shared" si="217"/>
        <v>140</v>
      </c>
      <c r="F537" s="3" t="str">
        <f t="shared" si="224"/>
        <v>100</v>
      </c>
      <c r="G537" s="3" t="str">
        <f t="shared" si="225"/>
        <v>二级</v>
      </c>
    </row>
    <row r="538" customHeight="1" spans="1:7">
      <c r="A538" s="3" t="str">
        <f>"2937"</f>
        <v>2937</v>
      </c>
      <c r="B538" s="3" t="s">
        <v>27</v>
      </c>
      <c r="C538" s="3" t="str">
        <f>"新开铺街道"</f>
        <v>新开铺街道</v>
      </c>
      <c r="D538" s="3" t="str">
        <f>"新天社区"</f>
        <v>新天社区</v>
      </c>
      <c r="E538" s="3" t="str">
        <f t="shared" si="217"/>
        <v>140</v>
      </c>
      <c r="F538" s="3" t="str">
        <f t="shared" si="224"/>
        <v>100</v>
      </c>
      <c r="G538" s="3" t="str">
        <f t="shared" si="225"/>
        <v>二级</v>
      </c>
    </row>
    <row r="539" customHeight="1" spans="1:7">
      <c r="A539" s="3" t="str">
        <f>"2938"</f>
        <v>2938</v>
      </c>
      <c r="B539" s="3" t="s">
        <v>1983</v>
      </c>
      <c r="C539" s="3" t="str">
        <f t="shared" ref="C539:C548" si="226">"黑石铺街道"</f>
        <v>黑石铺街道</v>
      </c>
      <c r="D539" s="3" t="str">
        <f t="shared" ref="D539:D548" si="227">"黑石铺社区"</f>
        <v>黑石铺社区</v>
      </c>
      <c r="E539" s="3" t="str">
        <f t="shared" si="217"/>
        <v>140</v>
      </c>
      <c r="F539" s="3" t="str">
        <f t="shared" si="224"/>
        <v>100</v>
      </c>
      <c r="G539" s="3" t="str">
        <f t="shared" si="225"/>
        <v>二级</v>
      </c>
    </row>
    <row r="540" customHeight="1" spans="1:7">
      <c r="A540" s="3" t="str">
        <f>"2939"</f>
        <v>2939</v>
      </c>
      <c r="B540" s="3" t="s">
        <v>1984</v>
      </c>
      <c r="C540" s="3" t="str">
        <f t="shared" si="226"/>
        <v>黑石铺街道</v>
      </c>
      <c r="D540" s="3" t="str">
        <f t="shared" si="227"/>
        <v>黑石铺社区</v>
      </c>
      <c r="E540" s="3" t="str">
        <f t="shared" si="217"/>
        <v>140</v>
      </c>
      <c r="F540" s="3" t="str">
        <f t="shared" si="224"/>
        <v>100</v>
      </c>
      <c r="G540" s="3" t="str">
        <f t="shared" si="225"/>
        <v>二级</v>
      </c>
    </row>
    <row r="541" customHeight="1" spans="1:7">
      <c r="A541" s="3" t="str">
        <f>"2940"</f>
        <v>2940</v>
      </c>
      <c r="B541" s="3" t="s">
        <v>1985</v>
      </c>
      <c r="C541" s="3" t="str">
        <f t="shared" si="226"/>
        <v>黑石铺街道</v>
      </c>
      <c r="D541" s="3" t="str">
        <f t="shared" si="227"/>
        <v>黑石铺社区</v>
      </c>
      <c r="E541" s="3" t="str">
        <f t="shared" si="217"/>
        <v>140</v>
      </c>
      <c r="F541" s="3" t="str">
        <f t="shared" si="224"/>
        <v>100</v>
      </c>
      <c r="G541" s="3" t="str">
        <f t="shared" si="225"/>
        <v>二级</v>
      </c>
    </row>
    <row r="542" customHeight="1" spans="1:7">
      <c r="A542" s="3" t="str">
        <f>"2941"</f>
        <v>2941</v>
      </c>
      <c r="B542" s="3" t="s">
        <v>872</v>
      </c>
      <c r="C542" s="3" t="str">
        <f t="shared" si="226"/>
        <v>黑石铺街道</v>
      </c>
      <c r="D542" s="3" t="str">
        <f t="shared" si="227"/>
        <v>黑石铺社区</v>
      </c>
      <c r="E542" s="3" t="str">
        <f t="shared" si="217"/>
        <v>140</v>
      </c>
      <c r="F542" s="3" t="str">
        <f t="shared" si="224"/>
        <v>100</v>
      </c>
      <c r="G542" s="3" t="str">
        <f t="shared" si="225"/>
        <v>二级</v>
      </c>
    </row>
    <row r="543" customHeight="1" spans="1:7">
      <c r="A543" s="3" t="str">
        <f>"2942"</f>
        <v>2942</v>
      </c>
      <c r="B543" s="3" t="s">
        <v>1774</v>
      </c>
      <c r="C543" s="3" t="str">
        <f t="shared" si="226"/>
        <v>黑石铺街道</v>
      </c>
      <c r="D543" s="3" t="str">
        <f t="shared" si="227"/>
        <v>黑石铺社区</v>
      </c>
      <c r="E543" s="3" t="str">
        <f t="shared" si="217"/>
        <v>140</v>
      </c>
      <c r="F543" s="3" t="str">
        <f t="shared" si="224"/>
        <v>100</v>
      </c>
      <c r="G543" s="3" t="str">
        <f t="shared" ref="G543:G547" si="228">"一级"</f>
        <v>一级</v>
      </c>
    </row>
    <row r="544" customHeight="1" spans="1:7">
      <c r="A544" s="3" t="str">
        <f>"2943"</f>
        <v>2943</v>
      </c>
      <c r="B544" s="3" t="s">
        <v>140</v>
      </c>
      <c r="C544" s="3" t="str">
        <f t="shared" si="226"/>
        <v>黑石铺街道</v>
      </c>
      <c r="D544" s="3" t="str">
        <f t="shared" si="227"/>
        <v>黑石铺社区</v>
      </c>
      <c r="E544" s="3" t="str">
        <f t="shared" si="217"/>
        <v>140</v>
      </c>
      <c r="F544" s="3" t="str">
        <f t="shared" si="224"/>
        <v>100</v>
      </c>
      <c r="G544" s="3" t="str">
        <f t="shared" ref="G544:G548" si="229">"二级"</f>
        <v>二级</v>
      </c>
    </row>
    <row r="545" customHeight="1" spans="1:7">
      <c r="A545" s="3" t="str">
        <f>"2944"</f>
        <v>2944</v>
      </c>
      <c r="B545" s="3" t="s">
        <v>1986</v>
      </c>
      <c r="C545" s="3" t="str">
        <f t="shared" si="226"/>
        <v>黑石铺街道</v>
      </c>
      <c r="D545" s="3" t="str">
        <f t="shared" si="227"/>
        <v>黑石铺社区</v>
      </c>
      <c r="E545" s="3" t="str">
        <f t="shared" si="217"/>
        <v>140</v>
      </c>
      <c r="F545" s="3" t="str">
        <f t="shared" si="224"/>
        <v>100</v>
      </c>
      <c r="G545" s="3" t="str">
        <f t="shared" si="228"/>
        <v>一级</v>
      </c>
    </row>
    <row r="546" customHeight="1" spans="1:7">
      <c r="A546" s="3" t="str">
        <f>"2945"</f>
        <v>2945</v>
      </c>
      <c r="B546" s="3" t="s">
        <v>1987</v>
      </c>
      <c r="C546" s="3" t="str">
        <f t="shared" si="226"/>
        <v>黑石铺街道</v>
      </c>
      <c r="D546" s="3" t="str">
        <f t="shared" si="227"/>
        <v>黑石铺社区</v>
      </c>
      <c r="E546" s="3" t="str">
        <f t="shared" si="217"/>
        <v>140</v>
      </c>
      <c r="F546" s="3" t="str">
        <f t="shared" si="224"/>
        <v>100</v>
      </c>
      <c r="G546" s="3" t="str">
        <f t="shared" si="229"/>
        <v>二级</v>
      </c>
    </row>
    <row r="547" customHeight="1" spans="1:7">
      <c r="A547" s="3" t="str">
        <f>"2946"</f>
        <v>2946</v>
      </c>
      <c r="B547" s="3" t="s">
        <v>1988</v>
      </c>
      <c r="C547" s="3" t="str">
        <f t="shared" si="226"/>
        <v>黑石铺街道</v>
      </c>
      <c r="D547" s="3" t="str">
        <f t="shared" si="227"/>
        <v>黑石铺社区</v>
      </c>
      <c r="E547" s="3" t="str">
        <f t="shared" si="217"/>
        <v>140</v>
      </c>
      <c r="F547" s="3" t="str">
        <f t="shared" si="224"/>
        <v>100</v>
      </c>
      <c r="G547" s="3" t="str">
        <f t="shared" si="228"/>
        <v>一级</v>
      </c>
    </row>
    <row r="548" customHeight="1" spans="1:7">
      <c r="A548" s="3" t="str">
        <f>"2947"</f>
        <v>2947</v>
      </c>
      <c r="B548" s="3" t="s">
        <v>745</v>
      </c>
      <c r="C548" s="3" t="str">
        <f t="shared" si="226"/>
        <v>黑石铺街道</v>
      </c>
      <c r="D548" s="3" t="str">
        <f t="shared" si="227"/>
        <v>黑石铺社区</v>
      </c>
      <c r="E548" s="3" t="str">
        <f t="shared" si="217"/>
        <v>140</v>
      </c>
      <c r="F548" s="3" t="str">
        <f t="shared" si="224"/>
        <v>100</v>
      </c>
      <c r="G548" s="3" t="str">
        <f t="shared" si="229"/>
        <v>二级</v>
      </c>
    </row>
    <row r="549" customHeight="1" spans="1:7">
      <c r="A549" s="3" t="str">
        <f>"2948"</f>
        <v>2948</v>
      </c>
      <c r="B549" s="3" t="s">
        <v>556</v>
      </c>
      <c r="C549" s="3" t="str">
        <f>"暮云街道"</f>
        <v>暮云街道</v>
      </c>
      <c r="D549" s="3" t="str">
        <f>"莲华村"</f>
        <v>莲华村</v>
      </c>
      <c r="E549" s="3" t="str">
        <f t="shared" si="217"/>
        <v>140</v>
      </c>
      <c r="F549" s="3" t="str">
        <f t="shared" ref="F549:F552" si="230">"0"</f>
        <v>0</v>
      </c>
      <c r="G549" s="3" t="str">
        <f>"三级"</f>
        <v>三级</v>
      </c>
    </row>
    <row r="550" customHeight="1" spans="1:7">
      <c r="A550" s="3" t="str">
        <f>"2949"</f>
        <v>2949</v>
      </c>
      <c r="B550" s="3" t="s">
        <v>1627</v>
      </c>
      <c r="C550" s="3" t="str">
        <f>"坡子街街道"</f>
        <v>坡子街街道</v>
      </c>
      <c r="D550" s="3" t="str">
        <f>"太平街社区"</f>
        <v>太平街社区</v>
      </c>
      <c r="E550" s="3" t="str">
        <f t="shared" si="217"/>
        <v>140</v>
      </c>
      <c r="F550" s="3" t="str">
        <f t="shared" si="230"/>
        <v>0</v>
      </c>
      <c r="G550" s="3" t="str">
        <f>"四级"</f>
        <v>四级</v>
      </c>
    </row>
    <row r="551" customHeight="1" spans="1:7">
      <c r="A551" s="3" t="str">
        <f>"2950"</f>
        <v>2950</v>
      </c>
      <c r="B551" s="3" t="s">
        <v>32</v>
      </c>
      <c r="C551" s="3" t="str">
        <f>"新开铺街道"</f>
        <v>新开铺街道</v>
      </c>
      <c r="D551" s="3" t="str">
        <f>"新开铺社区"</f>
        <v>新开铺社区</v>
      </c>
      <c r="E551" s="3" t="str">
        <f t="shared" si="217"/>
        <v>140</v>
      </c>
      <c r="F551" s="3" t="str">
        <f t="shared" ref="F551:F556" si="231">"100"</f>
        <v>100</v>
      </c>
      <c r="G551" s="3" t="str">
        <f t="shared" ref="G551:G556" si="232">"一级"</f>
        <v>一级</v>
      </c>
    </row>
    <row r="552" customHeight="1" spans="1:7">
      <c r="A552" s="3" t="str">
        <f>"2951"</f>
        <v>2951</v>
      </c>
      <c r="B552" s="3" t="s">
        <v>1989</v>
      </c>
      <c r="C552" s="3" t="str">
        <f>"坡子街街道"</f>
        <v>坡子街街道</v>
      </c>
      <c r="D552" s="3" t="str">
        <f>"青山祠社区"</f>
        <v>青山祠社区</v>
      </c>
      <c r="E552" s="3" t="str">
        <f t="shared" si="217"/>
        <v>140</v>
      </c>
      <c r="F552" s="3" t="str">
        <f t="shared" si="230"/>
        <v>0</v>
      </c>
      <c r="G552" s="3" t="str">
        <f>"四级"</f>
        <v>四级</v>
      </c>
    </row>
    <row r="553" customHeight="1" spans="1:7">
      <c r="A553" s="3" t="str">
        <f>"2952"</f>
        <v>2952</v>
      </c>
      <c r="B553" s="3" t="s">
        <v>1241</v>
      </c>
      <c r="C553" s="3" t="str">
        <f>"新开铺街道"</f>
        <v>新开铺街道</v>
      </c>
      <c r="D553" s="3" t="str">
        <f>"新天社区"</f>
        <v>新天社区</v>
      </c>
      <c r="E553" s="3" t="str">
        <f t="shared" si="217"/>
        <v>140</v>
      </c>
      <c r="F553" s="3" t="str">
        <f t="shared" si="231"/>
        <v>100</v>
      </c>
      <c r="G553" s="3" t="str">
        <f>"二级"</f>
        <v>二级</v>
      </c>
    </row>
    <row r="554" customHeight="1" spans="1:7">
      <c r="A554" s="3" t="str">
        <f>"2953"</f>
        <v>2953</v>
      </c>
      <c r="B554" s="3" t="s">
        <v>1990</v>
      </c>
      <c r="C554" s="3" t="str">
        <f t="shared" ref="C554:C557" si="233">"裕南街街道"</f>
        <v>裕南街街道</v>
      </c>
      <c r="D554" s="3" t="str">
        <f>"向东南社区"</f>
        <v>向东南社区</v>
      </c>
      <c r="E554" s="3" t="str">
        <f t="shared" si="217"/>
        <v>140</v>
      </c>
      <c r="F554" s="3" t="str">
        <f t="shared" si="231"/>
        <v>100</v>
      </c>
      <c r="G554" s="3" t="str">
        <f t="shared" si="232"/>
        <v>一级</v>
      </c>
    </row>
    <row r="555" customHeight="1" spans="1:7">
      <c r="A555" s="3" t="str">
        <f>"2954"</f>
        <v>2954</v>
      </c>
      <c r="B555" s="3" t="s">
        <v>1118</v>
      </c>
      <c r="C555" s="3" t="str">
        <f>"暮云街道"</f>
        <v>暮云街道</v>
      </c>
      <c r="D555" s="3" t="str">
        <f>"高云社区"</f>
        <v>高云社区</v>
      </c>
      <c r="E555" s="3" t="str">
        <f t="shared" si="217"/>
        <v>140</v>
      </c>
      <c r="F555" s="3" t="str">
        <f t="shared" si="231"/>
        <v>100</v>
      </c>
      <c r="G555" s="3" t="str">
        <f>"二级"</f>
        <v>二级</v>
      </c>
    </row>
    <row r="556" customHeight="1" spans="1:7">
      <c r="A556" s="3" t="str">
        <f>"2955"</f>
        <v>2955</v>
      </c>
      <c r="B556" s="3" t="s">
        <v>249</v>
      </c>
      <c r="C556" s="3" t="str">
        <f t="shared" si="233"/>
        <v>裕南街街道</v>
      </c>
      <c r="D556" s="3" t="str">
        <f>"向东南社区"</f>
        <v>向东南社区</v>
      </c>
      <c r="E556" s="3" t="str">
        <f t="shared" si="217"/>
        <v>140</v>
      </c>
      <c r="F556" s="3" t="str">
        <f t="shared" si="231"/>
        <v>100</v>
      </c>
      <c r="G556" s="3" t="str">
        <f t="shared" si="232"/>
        <v>一级</v>
      </c>
    </row>
    <row r="557" customHeight="1" spans="1:7">
      <c r="A557" s="3" t="str">
        <f>"2956"</f>
        <v>2956</v>
      </c>
      <c r="B557" s="3" t="s">
        <v>1991</v>
      </c>
      <c r="C557" s="3" t="str">
        <f t="shared" si="233"/>
        <v>裕南街街道</v>
      </c>
      <c r="D557" s="3" t="str">
        <f>"碧沙湖社区"</f>
        <v>碧沙湖社区</v>
      </c>
      <c r="E557" s="3" t="str">
        <f t="shared" si="217"/>
        <v>140</v>
      </c>
      <c r="F557" s="3" t="str">
        <f t="shared" ref="F557:F562" si="234">"0"</f>
        <v>0</v>
      </c>
      <c r="G557" s="3" t="str">
        <f t="shared" ref="G557:G559" si="235">"三级"</f>
        <v>三级</v>
      </c>
    </row>
    <row r="558" customHeight="1" spans="1:7">
      <c r="A558" s="3" t="str">
        <f>"2957"</f>
        <v>2957</v>
      </c>
      <c r="B558" s="3" t="s">
        <v>266</v>
      </c>
      <c r="C558" s="3" t="str">
        <f>"先锋街道"</f>
        <v>先锋街道</v>
      </c>
      <c r="D558" s="3" t="str">
        <f>"新宇社区"</f>
        <v>新宇社区</v>
      </c>
      <c r="E558" s="3" t="str">
        <f t="shared" si="217"/>
        <v>140</v>
      </c>
      <c r="F558" s="3" t="str">
        <f t="shared" si="234"/>
        <v>0</v>
      </c>
      <c r="G558" s="3" t="str">
        <f t="shared" si="235"/>
        <v>三级</v>
      </c>
    </row>
    <row r="559" customHeight="1" spans="1:7">
      <c r="A559" s="3" t="str">
        <f>"2958"</f>
        <v>2958</v>
      </c>
      <c r="B559" s="3" t="s">
        <v>1992</v>
      </c>
      <c r="C559" s="3" t="str">
        <f>"金盆岭街道"</f>
        <v>金盆岭街道</v>
      </c>
      <c r="D559" s="3" t="str">
        <f>"涂新社区"</f>
        <v>涂新社区</v>
      </c>
      <c r="E559" s="3" t="str">
        <f t="shared" si="217"/>
        <v>140</v>
      </c>
      <c r="F559" s="3" t="str">
        <f t="shared" si="234"/>
        <v>0</v>
      </c>
      <c r="G559" s="3" t="str">
        <f t="shared" si="235"/>
        <v>三级</v>
      </c>
    </row>
    <row r="560" customHeight="1" spans="1:7">
      <c r="A560" s="3" t="str">
        <f>"2959"</f>
        <v>2959</v>
      </c>
      <c r="B560" s="3" t="s">
        <v>70</v>
      </c>
      <c r="C560" s="3" t="str">
        <f>"金盆岭街道"</f>
        <v>金盆岭街道</v>
      </c>
      <c r="D560" s="3" t="str">
        <f>"涂新社区"</f>
        <v>涂新社区</v>
      </c>
      <c r="E560" s="3" t="str">
        <f t="shared" si="217"/>
        <v>140</v>
      </c>
      <c r="F560" s="3" t="str">
        <f t="shared" si="234"/>
        <v>0</v>
      </c>
      <c r="G560" s="3" t="str">
        <f>"四级"</f>
        <v>四级</v>
      </c>
    </row>
    <row r="561" customHeight="1" spans="1:7">
      <c r="A561" s="3" t="str">
        <f>"2960"</f>
        <v>2960</v>
      </c>
      <c r="B561" s="3" t="s">
        <v>809</v>
      </c>
      <c r="C561" s="3" t="str">
        <f>"裕南街街道"</f>
        <v>裕南街街道</v>
      </c>
      <c r="D561" s="3" t="str">
        <f>"长坡社区"</f>
        <v>长坡社区</v>
      </c>
      <c r="E561" s="3" t="str">
        <f t="shared" si="217"/>
        <v>140</v>
      </c>
      <c r="F561" s="3" t="str">
        <f t="shared" si="234"/>
        <v>0</v>
      </c>
      <c r="G561" s="3" t="str">
        <f>"三级"</f>
        <v>三级</v>
      </c>
    </row>
    <row r="562" customHeight="1" spans="1:7">
      <c r="A562" s="3" t="str">
        <f>"2961"</f>
        <v>2961</v>
      </c>
      <c r="B562" s="3" t="s">
        <v>1554</v>
      </c>
      <c r="C562" s="3" t="str">
        <f>"坡子街街道"</f>
        <v>坡子街街道</v>
      </c>
      <c r="D562" s="3" t="str">
        <f>"青山祠社区"</f>
        <v>青山祠社区</v>
      </c>
      <c r="E562" s="3" t="str">
        <f t="shared" si="217"/>
        <v>140</v>
      </c>
      <c r="F562" s="3" t="str">
        <f t="shared" si="234"/>
        <v>0</v>
      </c>
      <c r="G562" s="3" t="str">
        <f>"四级"</f>
        <v>四级</v>
      </c>
    </row>
    <row r="563" customHeight="1" spans="1:7">
      <c r="A563" s="3" t="str">
        <f>"2962"</f>
        <v>2962</v>
      </c>
      <c r="B563" s="3" t="s">
        <v>1993</v>
      </c>
      <c r="C563" s="3" t="str">
        <f>"裕南街街道"</f>
        <v>裕南街街道</v>
      </c>
      <c r="D563" s="3" t="str">
        <f>"东瓜山社区"</f>
        <v>东瓜山社区</v>
      </c>
      <c r="E563" s="3" t="str">
        <f t="shared" si="217"/>
        <v>140</v>
      </c>
      <c r="F563" s="3" t="str">
        <f t="shared" ref="F563:F571" si="236">"100"</f>
        <v>100</v>
      </c>
      <c r="G563" s="3" t="str">
        <f>"二级"</f>
        <v>二级</v>
      </c>
    </row>
    <row r="564" customHeight="1" spans="1:7">
      <c r="A564" s="3" t="str">
        <f>"2963"</f>
        <v>2963</v>
      </c>
      <c r="B564" s="3" t="s">
        <v>1994</v>
      </c>
      <c r="C564" s="3" t="str">
        <f>"坡子街街道"</f>
        <v>坡子街街道</v>
      </c>
      <c r="D564" s="3" t="str">
        <f>"登仁桥社区"</f>
        <v>登仁桥社区</v>
      </c>
      <c r="E564" s="3" t="str">
        <f t="shared" si="217"/>
        <v>140</v>
      </c>
      <c r="F564" s="3" t="str">
        <f>"0"</f>
        <v>0</v>
      </c>
      <c r="G564" s="3" t="str">
        <f>"三级"</f>
        <v>三级</v>
      </c>
    </row>
    <row r="565" customHeight="1" spans="1:7">
      <c r="A565" s="3" t="str">
        <f>"2964"</f>
        <v>2964</v>
      </c>
      <c r="B565" s="3" t="s">
        <v>1995</v>
      </c>
      <c r="C565" s="3" t="str">
        <f>"新开铺街道"</f>
        <v>新开铺街道</v>
      </c>
      <c r="D565" s="3" t="str">
        <f>"桥头社区"</f>
        <v>桥头社区</v>
      </c>
      <c r="E565" s="3" t="str">
        <f t="shared" si="217"/>
        <v>140</v>
      </c>
      <c r="F565" s="3" t="str">
        <f t="shared" si="236"/>
        <v>100</v>
      </c>
      <c r="G565" s="3" t="str">
        <f t="shared" ref="G565:G567" si="237">"一级"</f>
        <v>一级</v>
      </c>
    </row>
    <row r="566" customHeight="1" spans="1:7">
      <c r="A566" s="3" t="str">
        <f>"2965"</f>
        <v>2965</v>
      </c>
      <c r="B566" s="3" t="s">
        <v>1255</v>
      </c>
      <c r="C566" s="3" t="str">
        <f>"黑石铺街道"</f>
        <v>黑石铺街道</v>
      </c>
      <c r="D566" s="3" t="str">
        <f>"一力社区"</f>
        <v>一力社区</v>
      </c>
      <c r="E566" s="3" t="str">
        <f t="shared" si="217"/>
        <v>140</v>
      </c>
      <c r="F566" s="3" t="str">
        <f t="shared" si="236"/>
        <v>100</v>
      </c>
      <c r="G566" s="3" t="str">
        <f t="shared" si="237"/>
        <v>一级</v>
      </c>
    </row>
    <row r="567" customHeight="1" spans="1:7">
      <c r="A567" s="3" t="str">
        <f>"2966"</f>
        <v>2966</v>
      </c>
      <c r="B567" s="3" t="s">
        <v>1996</v>
      </c>
      <c r="C567" s="3" t="str">
        <f>"赤岭路街道"</f>
        <v>赤岭路街道</v>
      </c>
      <c r="D567" s="3" t="str">
        <f>"广厦新村社区"</f>
        <v>广厦新村社区</v>
      </c>
      <c r="E567" s="3" t="str">
        <f t="shared" si="217"/>
        <v>140</v>
      </c>
      <c r="F567" s="3" t="str">
        <f t="shared" si="236"/>
        <v>100</v>
      </c>
      <c r="G567" s="3" t="str">
        <f t="shared" si="237"/>
        <v>一级</v>
      </c>
    </row>
    <row r="568" customHeight="1" spans="1:7">
      <c r="A568" s="3" t="str">
        <f>"2967"</f>
        <v>2967</v>
      </c>
      <c r="B568" s="3" t="s">
        <v>1612</v>
      </c>
      <c r="C568" s="3" t="str">
        <f>"文源街道"</f>
        <v>文源街道</v>
      </c>
      <c r="D568" s="3" t="str">
        <f>"天鸿社区"</f>
        <v>天鸿社区</v>
      </c>
      <c r="E568" s="3" t="str">
        <f t="shared" si="217"/>
        <v>140</v>
      </c>
      <c r="F568" s="3" t="str">
        <f t="shared" si="236"/>
        <v>100</v>
      </c>
      <c r="G568" s="3" t="str">
        <f>"二级"</f>
        <v>二级</v>
      </c>
    </row>
    <row r="569" customHeight="1" spans="1:7">
      <c r="A569" s="3" t="str">
        <f>"2968"</f>
        <v>2968</v>
      </c>
      <c r="B569" s="3" t="s">
        <v>99</v>
      </c>
      <c r="C569" s="3" t="str">
        <f>"南托街道"</f>
        <v>南托街道</v>
      </c>
      <c r="D569" s="3" t="str">
        <f>"滨洲新村"</f>
        <v>滨洲新村</v>
      </c>
      <c r="E569" s="3" t="str">
        <f t="shared" si="217"/>
        <v>140</v>
      </c>
      <c r="F569" s="3" t="str">
        <f t="shared" si="236"/>
        <v>100</v>
      </c>
      <c r="G569" s="3" t="str">
        <f t="shared" ref="G569:G573" si="238">"一级"</f>
        <v>一级</v>
      </c>
    </row>
    <row r="570" customHeight="1" spans="1:7">
      <c r="A570" s="3" t="str">
        <f>"2969"</f>
        <v>2969</v>
      </c>
      <c r="B570" s="3" t="s">
        <v>1997</v>
      </c>
      <c r="C570" s="3" t="str">
        <f>"城南路街道"</f>
        <v>城南路街道</v>
      </c>
      <c r="D570" s="3" t="str">
        <f>"吴家坪社区"</f>
        <v>吴家坪社区</v>
      </c>
      <c r="E570" s="3" t="str">
        <f t="shared" si="217"/>
        <v>140</v>
      </c>
      <c r="F570" s="3" t="str">
        <f t="shared" si="236"/>
        <v>100</v>
      </c>
      <c r="G570" s="3" t="str">
        <f>"二级"</f>
        <v>二级</v>
      </c>
    </row>
    <row r="571" customHeight="1" spans="1:7">
      <c r="A571" s="3" t="str">
        <f>"2970"</f>
        <v>2970</v>
      </c>
      <c r="B571" s="3" t="s">
        <v>1998</v>
      </c>
      <c r="C571" s="3" t="str">
        <f>"赤岭路街道"</f>
        <v>赤岭路街道</v>
      </c>
      <c r="D571" s="3" t="str">
        <f>"南大桥社区"</f>
        <v>南大桥社区</v>
      </c>
      <c r="E571" s="3" t="str">
        <f t="shared" si="217"/>
        <v>140</v>
      </c>
      <c r="F571" s="3" t="str">
        <f t="shared" si="236"/>
        <v>100</v>
      </c>
      <c r="G571" s="3" t="str">
        <f t="shared" si="238"/>
        <v>一级</v>
      </c>
    </row>
    <row r="572" customHeight="1" spans="1:7">
      <c r="A572" s="3" t="str">
        <f>"2971"</f>
        <v>2971</v>
      </c>
      <c r="B572" s="3" t="s">
        <v>941</v>
      </c>
      <c r="C572" s="3" t="str">
        <f>"坡子街街道"</f>
        <v>坡子街街道</v>
      </c>
      <c r="D572" s="3" t="str">
        <f>"碧湘社区"</f>
        <v>碧湘社区</v>
      </c>
      <c r="E572" s="3" t="str">
        <f t="shared" si="217"/>
        <v>140</v>
      </c>
      <c r="F572" s="3" t="str">
        <f>"0"</f>
        <v>0</v>
      </c>
      <c r="G572" s="3" t="str">
        <f>"三级"</f>
        <v>三级</v>
      </c>
    </row>
    <row r="573" customHeight="1" spans="1:7">
      <c r="A573" s="3" t="str">
        <f>"2972"</f>
        <v>2972</v>
      </c>
      <c r="B573" s="3" t="s">
        <v>1999</v>
      </c>
      <c r="C573" s="3" t="str">
        <f>"裕南街街道"</f>
        <v>裕南街街道</v>
      </c>
      <c r="D573" s="3" t="str">
        <f>"仰天湖社区"</f>
        <v>仰天湖社区</v>
      </c>
      <c r="E573" s="3" t="str">
        <f t="shared" si="217"/>
        <v>140</v>
      </c>
      <c r="F573" s="3" t="str">
        <f t="shared" ref="F573:F592" si="239">"100"</f>
        <v>100</v>
      </c>
      <c r="G573" s="3" t="str">
        <f t="shared" si="238"/>
        <v>一级</v>
      </c>
    </row>
    <row r="574" customHeight="1" spans="1:7">
      <c r="A574" s="3" t="str">
        <f>"2973"</f>
        <v>2973</v>
      </c>
      <c r="B574" s="3" t="s">
        <v>2000</v>
      </c>
      <c r="C574" s="3" t="str">
        <f>"城南路街道"</f>
        <v>城南路街道</v>
      </c>
      <c r="D574" s="3" t="str">
        <f>"古道巷社区"</f>
        <v>古道巷社区</v>
      </c>
      <c r="E574" s="3" t="str">
        <f t="shared" si="217"/>
        <v>140</v>
      </c>
      <c r="F574" s="3" t="str">
        <f t="shared" si="239"/>
        <v>100</v>
      </c>
      <c r="G574" s="3" t="str">
        <f t="shared" ref="G574:G579" si="240">"二级"</f>
        <v>二级</v>
      </c>
    </row>
    <row r="575" customHeight="1" spans="1:7">
      <c r="A575" s="3" t="str">
        <f>"2974"</f>
        <v>2974</v>
      </c>
      <c r="B575" s="3" t="s">
        <v>54</v>
      </c>
      <c r="C575" s="3" t="str">
        <f>"暮云街道"</f>
        <v>暮云街道</v>
      </c>
      <c r="D575" s="3" t="str">
        <f>"暮云社区"</f>
        <v>暮云社区</v>
      </c>
      <c r="E575" s="3" t="str">
        <f t="shared" si="217"/>
        <v>140</v>
      </c>
      <c r="F575" s="3" t="str">
        <f t="shared" si="239"/>
        <v>100</v>
      </c>
      <c r="G575" s="3" t="str">
        <f>"一级"</f>
        <v>一级</v>
      </c>
    </row>
    <row r="576" customHeight="1" spans="1:7">
      <c r="A576" s="3" t="str">
        <f>"2975"</f>
        <v>2975</v>
      </c>
      <c r="B576" s="3" t="s">
        <v>2001</v>
      </c>
      <c r="C576" s="3" t="str">
        <f>"新开铺街道"</f>
        <v>新开铺街道</v>
      </c>
      <c r="D576" s="3" t="str">
        <f>"新开铺社区"</f>
        <v>新开铺社区</v>
      </c>
      <c r="E576" s="3" t="str">
        <f t="shared" si="217"/>
        <v>140</v>
      </c>
      <c r="F576" s="3" t="str">
        <f t="shared" si="239"/>
        <v>100</v>
      </c>
      <c r="G576" s="3" t="str">
        <f t="shared" si="240"/>
        <v>二级</v>
      </c>
    </row>
    <row r="577" customHeight="1" spans="1:7">
      <c r="A577" s="3" t="str">
        <f>"2976"</f>
        <v>2976</v>
      </c>
      <c r="B577" s="3" t="s">
        <v>2002</v>
      </c>
      <c r="C577" s="3" t="str">
        <f>"新开铺街道"</f>
        <v>新开铺街道</v>
      </c>
      <c r="D577" s="3" t="str">
        <f>"桥头社区"</f>
        <v>桥头社区</v>
      </c>
      <c r="E577" s="3" t="str">
        <f t="shared" si="217"/>
        <v>140</v>
      </c>
      <c r="F577" s="3" t="str">
        <f t="shared" si="239"/>
        <v>100</v>
      </c>
      <c r="G577" s="3" t="str">
        <f t="shared" si="240"/>
        <v>二级</v>
      </c>
    </row>
    <row r="578" customHeight="1" spans="1:7">
      <c r="A578" s="3" t="str">
        <f>"2977"</f>
        <v>2977</v>
      </c>
      <c r="B578" s="3" t="s">
        <v>2003</v>
      </c>
      <c r="C578" s="3" t="str">
        <f>"城南路街道"</f>
        <v>城南路街道</v>
      </c>
      <c r="D578" s="3" t="str">
        <f>"吴家坪社区"</f>
        <v>吴家坪社区</v>
      </c>
      <c r="E578" s="3" t="str">
        <f t="shared" ref="E578:E641" si="241">"140"</f>
        <v>140</v>
      </c>
      <c r="F578" s="3" t="str">
        <f t="shared" si="239"/>
        <v>100</v>
      </c>
      <c r="G578" s="3" t="str">
        <f t="shared" si="240"/>
        <v>二级</v>
      </c>
    </row>
    <row r="579" customHeight="1" spans="1:7">
      <c r="A579" s="3" t="str">
        <f>"2978"</f>
        <v>2978</v>
      </c>
      <c r="B579" s="3" t="s">
        <v>1054</v>
      </c>
      <c r="C579" s="3" t="str">
        <f>"赤岭路街道"</f>
        <v>赤岭路街道</v>
      </c>
      <c r="D579" s="3" t="str">
        <f>"猴子石社区"</f>
        <v>猴子石社区</v>
      </c>
      <c r="E579" s="3" t="str">
        <f t="shared" si="241"/>
        <v>140</v>
      </c>
      <c r="F579" s="3" t="str">
        <f t="shared" si="239"/>
        <v>100</v>
      </c>
      <c r="G579" s="3" t="str">
        <f t="shared" si="240"/>
        <v>二级</v>
      </c>
    </row>
    <row r="580" customHeight="1" spans="1:7">
      <c r="A580" s="3" t="str">
        <f>"2979"</f>
        <v>2979</v>
      </c>
      <c r="B580" s="3" t="s">
        <v>2004</v>
      </c>
      <c r="C580" s="3" t="str">
        <f>"赤岭路街道"</f>
        <v>赤岭路街道</v>
      </c>
      <c r="D580" s="3" t="str">
        <f>"猴子石社区"</f>
        <v>猴子石社区</v>
      </c>
      <c r="E580" s="3" t="str">
        <f t="shared" si="241"/>
        <v>140</v>
      </c>
      <c r="F580" s="3" t="str">
        <f t="shared" si="239"/>
        <v>100</v>
      </c>
      <c r="G580" s="3" t="str">
        <f>"一级"</f>
        <v>一级</v>
      </c>
    </row>
    <row r="581" customHeight="1" spans="1:7">
      <c r="A581" s="3" t="str">
        <f>"2980"</f>
        <v>2980</v>
      </c>
      <c r="B581" s="3" t="s">
        <v>2005</v>
      </c>
      <c r="C581" s="3" t="str">
        <f>"金盆岭街道"</f>
        <v>金盆岭街道</v>
      </c>
      <c r="D581" s="3" t="str">
        <f>"赤岭路社区"</f>
        <v>赤岭路社区</v>
      </c>
      <c r="E581" s="3" t="str">
        <f t="shared" si="241"/>
        <v>140</v>
      </c>
      <c r="F581" s="3" t="str">
        <f t="shared" si="239"/>
        <v>100</v>
      </c>
      <c r="G581" s="3" t="str">
        <f t="shared" ref="G581:G587" si="242">"二级"</f>
        <v>二级</v>
      </c>
    </row>
    <row r="582" customHeight="1" spans="1:7">
      <c r="A582" s="3" t="str">
        <f>"2981"</f>
        <v>2981</v>
      </c>
      <c r="B582" s="3" t="s">
        <v>151</v>
      </c>
      <c r="C582" s="3" t="str">
        <f t="shared" ref="C582:C585" si="243">"坡子街街道"</f>
        <v>坡子街街道</v>
      </c>
      <c r="D582" s="3" t="str">
        <f>"登仁桥社区"</f>
        <v>登仁桥社区</v>
      </c>
      <c r="E582" s="3" t="str">
        <f t="shared" si="241"/>
        <v>140</v>
      </c>
      <c r="F582" s="3" t="str">
        <f t="shared" si="239"/>
        <v>100</v>
      </c>
      <c r="G582" s="3" t="str">
        <f t="shared" si="242"/>
        <v>二级</v>
      </c>
    </row>
    <row r="583" customHeight="1" spans="1:7">
      <c r="A583" s="3" t="str">
        <f>"2982"</f>
        <v>2982</v>
      </c>
      <c r="B583" s="3" t="s">
        <v>2006</v>
      </c>
      <c r="C583" s="3" t="str">
        <f t="shared" si="243"/>
        <v>坡子街街道</v>
      </c>
      <c r="D583" s="3" t="str">
        <f>"文庙坪社区"</f>
        <v>文庙坪社区</v>
      </c>
      <c r="E583" s="3" t="str">
        <f t="shared" si="241"/>
        <v>140</v>
      </c>
      <c r="F583" s="3" t="str">
        <f t="shared" si="239"/>
        <v>100</v>
      </c>
      <c r="G583" s="3" t="str">
        <f t="shared" si="242"/>
        <v>二级</v>
      </c>
    </row>
    <row r="584" customHeight="1" spans="1:7">
      <c r="A584" s="3" t="str">
        <f>"2983"</f>
        <v>2983</v>
      </c>
      <c r="B584" s="3" t="s">
        <v>553</v>
      </c>
      <c r="C584" s="3" t="str">
        <f>"暮云街道"</f>
        <v>暮云街道</v>
      </c>
      <c r="D584" s="3" t="str">
        <f>"暮云新村"</f>
        <v>暮云新村</v>
      </c>
      <c r="E584" s="3" t="str">
        <f t="shared" si="241"/>
        <v>140</v>
      </c>
      <c r="F584" s="3" t="str">
        <f t="shared" si="239"/>
        <v>100</v>
      </c>
      <c r="G584" s="3" t="str">
        <f t="shared" si="242"/>
        <v>二级</v>
      </c>
    </row>
    <row r="585" customHeight="1" spans="1:7">
      <c r="A585" s="3" t="str">
        <f>"2984"</f>
        <v>2984</v>
      </c>
      <c r="B585" s="3" t="s">
        <v>146</v>
      </c>
      <c r="C585" s="3" t="str">
        <f t="shared" si="243"/>
        <v>坡子街街道</v>
      </c>
      <c r="D585" s="3" t="str">
        <f>"楚湘社区"</f>
        <v>楚湘社区</v>
      </c>
      <c r="E585" s="3" t="str">
        <f t="shared" si="241"/>
        <v>140</v>
      </c>
      <c r="F585" s="3" t="str">
        <f t="shared" si="239"/>
        <v>100</v>
      </c>
      <c r="G585" s="3" t="str">
        <f t="shared" si="242"/>
        <v>二级</v>
      </c>
    </row>
    <row r="586" customHeight="1" spans="1:7">
      <c r="A586" s="3" t="str">
        <f>"2985"</f>
        <v>2985</v>
      </c>
      <c r="B586" s="3" t="s">
        <v>2007</v>
      </c>
      <c r="C586" s="3" t="str">
        <f>"城南路街道"</f>
        <v>城南路街道</v>
      </c>
      <c r="D586" s="3" t="str">
        <f>"古道巷社区"</f>
        <v>古道巷社区</v>
      </c>
      <c r="E586" s="3" t="str">
        <f t="shared" si="241"/>
        <v>140</v>
      </c>
      <c r="F586" s="3" t="str">
        <f t="shared" si="239"/>
        <v>100</v>
      </c>
      <c r="G586" s="3" t="str">
        <f t="shared" si="242"/>
        <v>二级</v>
      </c>
    </row>
    <row r="587" customHeight="1" spans="1:7">
      <c r="A587" s="3" t="str">
        <f>"2986"</f>
        <v>2986</v>
      </c>
      <c r="B587" s="3" t="s">
        <v>1916</v>
      </c>
      <c r="C587" s="3" t="str">
        <f t="shared" ref="C587:C592" si="244">"坡子街街道"</f>
        <v>坡子街街道</v>
      </c>
      <c r="D587" s="3" t="str">
        <f>"西牌楼社区"</f>
        <v>西牌楼社区</v>
      </c>
      <c r="E587" s="3" t="str">
        <f t="shared" si="241"/>
        <v>140</v>
      </c>
      <c r="F587" s="3" t="str">
        <f t="shared" si="239"/>
        <v>100</v>
      </c>
      <c r="G587" s="3" t="str">
        <f t="shared" si="242"/>
        <v>二级</v>
      </c>
    </row>
    <row r="588" customHeight="1" spans="1:7">
      <c r="A588" s="3" t="str">
        <f>"2987"</f>
        <v>2987</v>
      </c>
      <c r="B588" s="3" t="s">
        <v>2008</v>
      </c>
      <c r="C588" s="3" t="str">
        <f t="shared" ref="C588:C593" si="245">"暮云街道"</f>
        <v>暮云街道</v>
      </c>
      <c r="D588" s="3" t="str">
        <f>"高云社区"</f>
        <v>高云社区</v>
      </c>
      <c r="E588" s="3" t="str">
        <f t="shared" si="241"/>
        <v>140</v>
      </c>
      <c r="F588" s="3" t="str">
        <f t="shared" si="239"/>
        <v>100</v>
      </c>
      <c r="G588" s="3" t="str">
        <f>"一级"</f>
        <v>一级</v>
      </c>
    </row>
    <row r="589" customHeight="1" spans="1:7">
      <c r="A589" s="3" t="str">
        <f>"2988"</f>
        <v>2988</v>
      </c>
      <c r="B589" s="3" t="s">
        <v>2009</v>
      </c>
      <c r="C589" s="3" t="str">
        <f t="shared" si="244"/>
        <v>坡子街街道</v>
      </c>
      <c r="D589" s="3" t="str">
        <f>"文庙坪社区"</f>
        <v>文庙坪社区</v>
      </c>
      <c r="E589" s="3" t="str">
        <f t="shared" si="241"/>
        <v>140</v>
      </c>
      <c r="F589" s="3" t="str">
        <f t="shared" si="239"/>
        <v>100</v>
      </c>
      <c r="G589" s="3" t="str">
        <f t="shared" ref="G589:G592" si="246">"二级"</f>
        <v>二级</v>
      </c>
    </row>
    <row r="590" customHeight="1" spans="1:7">
      <c r="A590" s="3" t="str">
        <f>"2989"</f>
        <v>2989</v>
      </c>
      <c r="B590" s="3" t="s">
        <v>2010</v>
      </c>
      <c r="C590" s="3" t="str">
        <f>"黑石铺街道"</f>
        <v>黑石铺街道</v>
      </c>
      <c r="D590" s="3" t="str">
        <f>"黑石铺社区"</f>
        <v>黑石铺社区</v>
      </c>
      <c r="E590" s="3" t="str">
        <f t="shared" si="241"/>
        <v>140</v>
      </c>
      <c r="F590" s="3" t="str">
        <f t="shared" si="239"/>
        <v>100</v>
      </c>
      <c r="G590" s="3" t="str">
        <f t="shared" si="246"/>
        <v>二级</v>
      </c>
    </row>
    <row r="591" customHeight="1" spans="1:7">
      <c r="A591" s="3" t="str">
        <f>"2990"</f>
        <v>2990</v>
      </c>
      <c r="B591" s="3" t="s">
        <v>1169</v>
      </c>
      <c r="C591" s="3" t="str">
        <f t="shared" si="245"/>
        <v>暮云街道</v>
      </c>
      <c r="D591" s="3" t="str">
        <f>"许兴村"</f>
        <v>许兴村</v>
      </c>
      <c r="E591" s="3" t="str">
        <f t="shared" si="241"/>
        <v>140</v>
      </c>
      <c r="F591" s="3" t="str">
        <f t="shared" si="239"/>
        <v>100</v>
      </c>
      <c r="G591" s="3" t="str">
        <f t="shared" si="246"/>
        <v>二级</v>
      </c>
    </row>
    <row r="592" customHeight="1" spans="1:7">
      <c r="A592" s="3" t="str">
        <f>"2991"</f>
        <v>2991</v>
      </c>
      <c r="B592" s="3" t="s">
        <v>986</v>
      </c>
      <c r="C592" s="3" t="str">
        <f t="shared" si="244"/>
        <v>坡子街街道</v>
      </c>
      <c r="D592" s="3" t="str">
        <f>"坡子街社区"</f>
        <v>坡子街社区</v>
      </c>
      <c r="E592" s="3" t="str">
        <f t="shared" si="241"/>
        <v>140</v>
      </c>
      <c r="F592" s="3" t="str">
        <f t="shared" si="239"/>
        <v>100</v>
      </c>
      <c r="G592" s="3" t="str">
        <f t="shared" si="246"/>
        <v>二级</v>
      </c>
    </row>
    <row r="593" customHeight="1" spans="1:7">
      <c r="A593" s="3" t="str">
        <f>"2992"</f>
        <v>2992</v>
      </c>
      <c r="B593" s="3" t="s">
        <v>2011</v>
      </c>
      <c r="C593" s="3" t="str">
        <f t="shared" si="245"/>
        <v>暮云街道</v>
      </c>
      <c r="D593" s="3" t="str">
        <f>"莲华村"</f>
        <v>莲华村</v>
      </c>
      <c r="E593" s="3" t="str">
        <f t="shared" si="241"/>
        <v>140</v>
      </c>
      <c r="F593" s="3" t="str">
        <f>"0"</f>
        <v>0</v>
      </c>
      <c r="G593" s="3" t="str">
        <f>"三级"</f>
        <v>三级</v>
      </c>
    </row>
    <row r="594" customHeight="1" spans="1:7">
      <c r="A594" s="3" t="str">
        <f>"2993"</f>
        <v>2993</v>
      </c>
      <c r="B594" s="3" t="s">
        <v>70</v>
      </c>
      <c r="C594" s="3" t="str">
        <f>"坡子街街道"</f>
        <v>坡子街街道</v>
      </c>
      <c r="D594" s="3" t="str">
        <f>"青山祠社区"</f>
        <v>青山祠社区</v>
      </c>
      <c r="E594" s="3" t="str">
        <f t="shared" si="241"/>
        <v>140</v>
      </c>
      <c r="F594" s="3" t="str">
        <f t="shared" ref="F594:F605" si="247">"100"</f>
        <v>100</v>
      </c>
      <c r="G594" s="3" t="str">
        <f t="shared" ref="G594:G596" si="248">"二级"</f>
        <v>二级</v>
      </c>
    </row>
    <row r="595" customHeight="1" spans="1:7">
      <c r="A595" s="3" t="str">
        <f>"2994"</f>
        <v>2994</v>
      </c>
      <c r="B595" s="3" t="s">
        <v>2012</v>
      </c>
      <c r="C595" s="3" t="str">
        <f>"裕南街街道"</f>
        <v>裕南街街道</v>
      </c>
      <c r="D595" s="3" t="str">
        <f>"火把山社区"</f>
        <v>火把山社区</v>
      </c>
      <c r="E595" s="3" t="str">
        <f t="shared" si="241"/>
        <v>140</v>
      </c>
      <c r="F595" s="3" t="str">
        <f t="shared" si="247"/>
        <v>100</v>
      </c>
      <c r="G595" s="3" t="str">
        <f t="shared" si="248"/>
        <v>二级</v>
      </c>
    </row>
    <row r="596" customHeight="1" spans="1:7">
      <c r="A596" s="3" t="str">
        <f>"2995"</f>
        <v>2995</v>
      </c>
      <c r="B596" s="3" t="s">
        <v>2013</v>
      </c>
      <c r="C596" s="3" t="str">
        <f>"坡子街街道"</f>
        <v>坡子街街道</v>
      </c>
      <c r="D596" s="3" t="str">
        <f>"创远社区"</f>
        <v>创远社区</v>
      </c>
      <c r="E596" s="3" t="str">
        <f t="shared" si="241"/>
        <v>140</v>
      </c>
      <c r="F596" s="3" t="str">
        <f t="shared" si="247"/>
        <v>100</v>
      </c>
      <c r="G596" s="3" t="str">
        <f t="shared" si="248"/>
        <v>二级</v>
      </c>
    </row>
    <row r="597" customHeight="1" spans="1:7">
      <c r="A597" s="3" t="str">
        <f>"2996"</f>
        <v>2996</v>
      </c>
      <c r="B597" s="3" t="s">
        <v>2014</v>
      </c>
      <c r="C597" s="3" t="str">
        <f>"桂花坪街道"</f>
        <v>桂花坪街道</v>
      </c>
      <c r="D597" s="3" t="str">
        <f>"金桂社区"</f>
        <v>金桂社区</v>
      </c>
      <c r="E597" s="3" t="str">
        <f t="shared" si="241"/>
        <v>140</v>
      </c>
      <c r="F597" s="3" t="str">
        <f t="shared" si="247"/>
        <v>100</v>
      </c>
      <c r="G597" s="3" t="str">
        <f t="shared" ref="G597:G601" si="249">"一级"</f>
        <v>一级</v>
      </c>
    </row>
    <row r="598" customHeight="1" spans="1:7">
      <c r="A598" s="3" t="str">
        <f>"2997"</f>
        <v>2997</v>
      </c>
      <c r="B598" s="3" t="s">
        <v>2015</v>
      </c>
      <c r="C598" s="3" t="str">
        <f>"先锋街道"</f>
        <v>先锋街道</v>
      </c>
      <c r="D598" s="3" t="str">
        <f>"嘉和社区"</f>
        <v>嘉和社区</v>
      </c>
      <c r="E598" s="3" t="str">
        <f t="shared" si="241"/>
        <v>140</v>
      </c>
      <c r="F598" s="3" t="str">
        <f t="shared" si="247"/>
        <v>100</v>
      </c>
      <c r="G598" s="3" t="str">
        <f t="shared" ref="G598:G604" si="250">"二级"</f>
        <v>二级</v>
      </c>
    </row>
    <row r="599" customHeight="1" spans="1:7">
      <c r="A599" s="3" t="str">
        <f>"2998"</f>
        <v>2998</v>
      </c>
      <c r="B599" s="3" t="s">
        <v>2016</v>
      </c>
      <c r="C599" s="3" t="str">
        <f>"文源街道"</f>
        <v>文源街道</v>
      </c>
      <c r="D599" s="3" t="str">
        <f>"梅岭社区"</f>
        <v>梅岭社区</v>
      </c>
      <c r="E599" s="3" t="str">
        <f t="shared" si="241"/>
        <v>140</v>
      </c>
      <c r="F599" s="3" t="str">
        <f t="shared" si="247"/>
        <v>100</v>
      </c>
      <c r="G599" s="3" t="str">
        <f t="shared" si="249"/>
        <v>一级</v>
      </c>
    </row>
    <row r="600" customHeight="1" spans="1:7">
      <c r="A600" s="3" t="str">
        <f>"2999"</f>
        <v>2999</v>
      </c>
      <c r="B600" s="3" t="s">
        <v>2017</v>
      </c>
      <c r="C600" s="3" t="str">
        <f>"新开铺街道"</f>
        <v>新开铺街道</v>
      </c>
      <c r="D600" s="3" t="str">
        <f>"豹子岭社区"</f>
        <v>豹子岭社区</v>
      </c>
      <c r="E600" s="3" t="str">
        <f t="shared" si="241"/>
        <v>140</v>
      </c>
      <c r="F600" s="3" t="str">
        <f t="shared" si="247"/>
        <v>100</v>
      </c>
      <c r="G600" s="3" t="str">
        <f t="shared" si="250"/>
        <v>二级</v>
      </c>
    </row>
    <row r="601" customHeight="1" spans="1:7">
      <c r="A601" s="3" t="str">
        <f>"3000"</f>
        <v>3000</v>
      </c>
      <c r="B601" s="3" t="s">
        <v>2018</v>
      </c>
      <c r="C601" s="3" t="str">
        <f>"青园街道"</f>
        <v>青园街道</v>
      </c>
      <c r="D601" s="3" t="str">
        <f>"友谊社区"</f>
        <v>友谊社区</v>
      </c>
      <c r="E601" s="3" t="str">
        <f t="shared" si="241"/>
        <v>140</v>
      </c>
      <c r="F601" s="3" t="str">
        <f t="shared" si="247"/>
        <v>100</v>
      </c>
      <c r="G601" s="3" t="str">
        <f t="shared" si="249"/>
        <v>一级</v>
      </c>
    </row>
    <row r="602" customHeight="1" spans="1:7">
      <c r="A602" s="3" t="str">
        <f>"3001"</f>
        <v>3001</v>
      </c>
      <c r="B602" s="3" t="s">
        <v>2019</v>
      </c>
      <c r="C602" s="3" t="str">
        <f>"南托街道"</f>
        <v>南托街道</v>
      </c>
      <c r="D602" s="3" t="str">
        <f>"南鑫社区"</f>
        <v>南鑫社区</v>
      </c>
      <c r="E602" s="3" t="str">
        <f t="shared" si="241"/>
        <v>140</v>
      </c>
      <c r="F602" s="3" t="str">
        <f t="shared" si="247"/>
        <v>100</v>
      </c>
      <c r="G602" s="3" t="str">
        <f t="shared" si="250"/>
        <v>二级</v>
      </c>
    </row>
    <row r="603" customHeight="1" spans="1:7">
      <c r="A603" s="3" t="str">
        <f>"3002"</f>
        <v>3002</v>
      </c>
      <c r="B603" s="3" t="s">
        <v>2020</v>
      </c>
      <c r="C603" s="3" t="str">
        <f t="shared" ref="C603:C606" si="251">"坡子街街道"</f>
        <v>坡子街街道</v>
      </c>
      <c r="D603" s="3" t="str">
        <f>"创远社区"</f>
        <v>创远社区</v>
      </c>
      <c r="E603" s="3" t="str">
        <f t="shared" si="241"/>
        <v>140</v>
      </c>
      <c r="F603" s="3" t="str">
        <f t="shared" si="247"/>
        <v>100</v>
      </c>
      <c r="G603" s="3" t="str">
        <f t="shared" si="250"/>
        <v>二级</v>
      </c>
    </row>
    <row r="604" customHeight="1" spans="1:7">
      <c r="A604" s="3" t="str">
        <f>"3003"</f>
        <v>3003</v>
      </c>
      <c r="B604" s="3" t="s">
        <v>813</v>
      </c>
      <c r="C604" s="3" t="str">
        <f t="shared" si="251"/>
        <v>坡子街街道</v>
      </c>
      <c r="D604" s="3" t="str">
        <f>"创远社区"</f>
        <v>创远社区</v>
      </c>
      <c r="E604" s="3" t="str">
        <f t="shared" si="241"/>
        <v>140</v>
      </c>
      <c r="F604" s="3" t="str">
        <f t="shared" si="247"/>
        <v>100</v>
      </c>
      <c r="G604" s="3" t="str">
        <f t="shared" si="250"/>
        <v>二级</v>
      </c>
    </row>
    <row r="605" customHeight="1" spans="1:7">
      <c r="A605" s="3" t="str">
        <f>"3004"</f>
        <v>3004</v>
      </c>
      <c r="B605" s="3" t="s">
        <v>2021</v>
      </c>
      <c r="C605" s="3" t="str">
        <f>"青园街道"</f>
        <v>青园街道</v>
      </c>
      <c r="D605" s="3" t="str">
        <f>"井湾子社区"</f>
        <v>井湾子社区</v>
      </c>
      <c r="E605" s="3" t="str">
        <f t="shared" si="241"/>
        <v>140</v>
      </c>
      <c r="F605" s="3" t="str">
        <f t="shared" si="247"/>
        <v>100</v>
      </c>
      <c r="G605" s="3" t="str">
        <f>"一级"</f>
        <v>一级</v>
      </c>
    </row>
    <row r="606" customHeight="1" spans="1:7">
      <c r="A606" s="3" t="str">
        <f>"3005"</f>
        <v>3005</v>
      </c>
      <c r="B606" s="3" t="s">
        <v>97</v>
      </c>
      <c r="C606" s="3" t="str">
        <f t="shared" si="251"/>
        <v>坡子街街道</v>
      </c>
      <c r="D606" s="3" t="str">
        <f>"坡子街社区"</f>
        <v>坡子街社区</v>
      </c>
      <c r="E606" s="3" t="str">
        <f t="shared" si="241"/>
        <v>140</v>
      </c>
      <c r="F606" s="3" t="str">
        <f>"0"</f>
        <v>0</v>
      </c>
      <c r="G606" s="3" t="str">
        <f>"四级"</f>
        <v>四级</v>
      </c>
    </row>
    <row r="607" customHeight="1" spans="1:7">
      <c r="A607" s="3" t="str">
        <f>"3006"</f>
        <v>3006</v>
      </c>
      <c r="B607" s="3" t="s">
        <v>2022</v>
      </c>
      <c r="C607" s="3" t="str">
        <f>"赤岭路街道"</f>
        <v>赤岭路街道</v>
      </c>
      <c r="D607" s="3" t="str">
        <f>"新丰社区"</f>
        <v>新丰社区</v>
      </c>
      <c r="E607" s="3" t="str">
        <f t="shared" si="241"/>
        <v>140</v>
      </c>
      <c r="F607" s="3" t="str">
        <f>"0"</f>
        <v>0</v>
      </c>
      <c r="G607" s="3" t="str">
        <f>"四级"</f>
        <v>四级</v>
      </c>
    </row>
    <row r="608" customHeight="1" spans="1:7">
      <c r="A608" s="3" t="str">
        <f>"3007"</f>
        <v>3007</v>
      </c>
      <c r="B608" s="3" t="s">
        <v>926</v>
      </c>
      <c r="C608" s="3" t="str">
        <f>"大托铺街道"</f>
        <v>大托铺街道</v>
      </c>
      <c r="D608" s="3" t="str">
        <f>"大托村委会"</f>
        <v>大托村委会</v>
      </c>
      <c r="E608" s="3" t="str">
        <f t="shared" si="241"/>
        <v>140</v>
      </c>
      <c r="F608" s="3" t="str">
        <f t="shared" ref="F608:F613" si="252">"100"</f>
        <v>100</v>
      </c>
      <c r="G608" s="3" t="str">
        <f t="shared" ref="G608:G613" si="253">"二级"</f>
        <v>二级</v>
      </c>
    </row>
    <row r="609" customHeight="1" spans="1:7">
      <c r="A609" s="3" t="str">
        <f>"3008"</f>
        <v>3008</v>
      </c>
      <c r="B609" s="3" t="s">
        <v>129</v>
      </c>
      <c r="C609" s="3" t="str">
        <f>"金盆岭街道"</f>
        <v>金盆岭街道</v>
      </c>
      <c r="D609" s="3" t="str">
        <f>"天剑社区"</f>
        <v>天剑社区</v>
      </c>
      <c r="E609" s="3" t="str">
        <f t="shared" si="241"/>
        <v>140</v>
      </c>
      <c r="F609" s="3" t="str">
        <f t="shared" si="252"/>
        <v>100</v>
      </c>
      <c r="G609" s="3" t="str">
        <f t="shared" si="253"/>
        <v>二级</v>
      </c>
    </row>
    <row r="610" customHeight="1" spans="1:7">
      <c r="A610" s="3" t="str">
        <f>"3009"</f>
        <v>3009</v>
      </c>
      <c r="B610" s="3" t="s">
        <v>63</v>
      </c>
      <c r="C610" s="3" t="str">
        <f>"桂花坪街道"</f>
        <v>桂花坪街道</v>
      </c>
      <c r="D610" s="3" t="str">
        <f>"新园社区"</f>
        <v>新园社区</v>
      </c>
      <c r="E610" s="3" t="str">
        <f t="shared" si="241"/>
        <v>140</v>
      </c>
      <c r="F610" s="3" t="str">
        <f t="shared" si="252"/>
        <v>100</v>
      </c>
      <c r="G610" s="3" t="str">
        <f t="shared" si="253"/>
        <v>二级</v>
      </c>
    </row>
    <row r="611" customHeight="1" spans="1:7">
      <c r="A611" s="3" t="str">
        <f>"3010"</f>
        <v>3010</v>
      </c>
      <c r="B611" s="3" t="s">
        <v>146</v>
      </c>
      <c r="C611" s="3" t="str">
        <f>"城南路街道"</f>
        <v>城南路街道</v>
      </c>
      <c r="D611" s="3" t="str">
        <f>"白沙井社区"</f>
        <v>白沙井社区</v>
      </c>
      <c r="E611" s="3" t="str">
        <f t="shared" si="241"/>
        <v>140</v>
      </c>
      <c r="F611" s="3" t="str">
        <f t="shared" si="252"/>
        <v>100</v>
      </c>
      <c r="G611" s="3" t="str">
        <f t="shared" si="253"/>
        <v>二级</v>
      </c>
    </row>
    <row r="612" customHeight="1" spans="1:7">
      <c r="A612" s="3" t="str">
        <f>"3011"</f>
        <v>3011</v>
      </c>
      <c r="B612" s="3" t="s">
        <v>119</v>
      </c>
      <c r="C612" s="3" t="str">
        <f>"大托铺街道"</f>
        <v>大托铺街道</v>
      </c>
      <c r="D612" s="3" t="str">
        <f>"新港村委会"</f>
        <v>新港村委会</v>
      </c>
      <c r="E612" s="3" t="str">
        <f t="shared" si="241"/>
        <v>140</v>
      </c>
      <c r="F612" s="3" t="str">
        <f t="shared" si="252"/>
        <v>100</v>
      </c>
      <c r="G612" s="3" t="str">
        <f t="shared" si="253"/>
        <v>二级</v>
      </c>
    </row>
    <row r="613" customHeight="1" spans="1:7">
      <c r="A613" s="3" t="str">
        <f>"3012"</f>
        <v>3012</v>
      </c>
      <c r="B613" s="3" t="s">
        <v>2023</v>
      </c>
      <c r="C613" s="3" t="str">
        <f t="shared" ref="C613:C618" si="254">"暮云街道"</f>
        <v>暮云街道</v>
      </c>
      <c r="D613" s="3" t="str">
        <f t="shared" ref="D613:D618" si="255">"弘高社区"</f>
        <v>弘高社区</v>
      </c>
      <c r="E613" s="3" t="str">
        <f t="shared" si="241"/>
        <v>140</v>
      </c>
      <c r="F613" s="3" t="str">
        <f t="shared" si="252"/>
        <v>100</v>
      </c>
      <c r="G613" s="3" t="str">
        <f t="shared" si="253"/>
        <v>二级</v>
      </c>
    </row>
    <row r="614" customHeight="1" spans="1:7">
      <c r="A614" s="3" t="str">
        <f>"3013"</f>
        <v>3013</v>
      </c>
      <c r="B614" s="3" t="s">
        <v>2024</v>
      </c>
      <c r="C614" s="3" t="str">
        <f>"坡子街街道"</f>
        <v>坡子街街道</v>
      </c>
      <c r="D614" s="3" t="str">
        <f>"文庙坪社区"</f>
        <v>文庙坪社区</v>
      </c>
      <c r="E614" s="3" t="str">
        <f t="shared" si="241"/>
        <v>140</v>
      </c>
      <c r="F614" s="3" t="str">
        <f>"0"</f>
        <v>0</v>
      </c>
      <c r="G614" s="3" t="str">
        <f>"四级"</f>
        <v>四级</v>
      </c>
    </row>
    <row r="615" customHeight="1" spans="1:7">
      <c r="A615" s="3" t="str">
        <f>"3014"</f>
        <v>3014</v>
      </c>
      <c r="B615" s="3" t="s">
        <v>2025</v>
      </c>
      <c r="C615" s="3" t="str">
        <f t="shared" si="254"/>
        <v>暮云街道</v>
      </c>
      <c r="D615" s="3" t="str">
        <f t="shared" si="255"/>
        <v>弘高社区</v>
      </c>
      <c r="E615" s="3" t="str">
        <f t="shared" si="241"/>
        <v>140</v>
      </c>
      <c r="F615" s="3" t="str">
        <f t="shared" ref="F615:F637" si="256">"100"</f>
        <v>100</v>
      </c>
      <c r="G615" s="3" t="str">
        <f t="shared" ref="G615:G621" si="257">"二级"</f>
        <v>二级</v>
      </c>
    </row>
    <row r="616" customHeight="1" spans="1:7">
      <c r="A616" s="3" t="str">
        <f>"3015"</f>
        <v>3015</v>
      </c>
      <c r="B616" s="3" t="s">
        <v>480</v>
      </c>
      <c r="C616" s="3" t="str">
        <f t="shared" si="254"/>
        <v>暮云街道</v>
      </c>
      <c r="D616" s="3" t="str">
        <f t="shared" si="255"/>
        <v>弘高社区</v>
      </c>
      <c r="E616" s="3" t="str">
        <f t="shared" si="241"/>
        <v>140</v>
      </c>
      <c r="F616" s="3" t="str">
        <f t="shared" si="256"/>
        <v>100</v>
      </c>
      <c r="G616" s="3" t="str">
        <f t="shared" si="257"/>
        <v>二级</v>
      </c>
    </row>
    <row r="617" customHeight="1" spans="1:7">
      <c r="A617" s="3" t="str">
        <f>"3016"</f>
        <v>3016</v>
      </c>
      <c r="B617" s="3" t="s">
        <v>2026</v>
      </c>
      <c r="C617" s="3" t="str">
        <f t="shared" si="254"/>
        <v>暮云街道</v>
      </c>
      <c r="D617" s="3" t="str">
        <f t="shared" si="255"/>
        <v>弘高社区</v>
      </c>
      <c r="E617" s="3" t="str">
        <f t="shared" si="241"/>
        <v>140</v>
      </c>
      <c r="F617" s="3" t="str">
        <f t="shared" si="256"/>
        <v>100</v>
      </c>
      <c r="G617" s="3" t="str">
        <f t="shared" si="257"/>
        <v>二级</v>
      </c>
    </row>
    <row r="618" customHeight="1" spans="1:7">
      <c r="A618" s="3" t="str">
        <f>"3017"</f>
        <v>3017</v>
      </c>
      <c r="B618" s="3" t="s">
        <v>418</v>
      </c>
      <c r="C618" s="3" t="str">
        <f t="shared" si="254"/>
        <v>暮云街道</v>
      </c>
      <c r="D618" s="3" t="str">
        <f t="shared" si="255"/>
        <v>弘高社区</v>
      </c>
      <c r="E618" s="3" t="str">
        <f t="shared" si="241"/>
        <v>140</v>
      </c>
      <c r="F618" s="3" t="str">
        <f t="shared" si="256"/>
        <v>100</v>
      </c>
      <c r="G618" s="3" t="str">
        <f t="shared" si="257"/>
        <v>二级</v>
      </c>
    </row>
    <row r="619" customHeight="1" spans="1:7">
      <c r="A619" s="3" t="str">
        <f>"3018"</f>
        <v>3018</v>
      </c>
      <c r="B619" s="3" t="s">
        <v>2027</v>
      </c>
      <c r="C619" s="3" t="str">
        <f t="shared" ref="C619:C623" si="258">"赤岭路街道"</f>
        <v>赤岭路街道</v>
      </c>
      <c r="D619" s="3" t="str">
        <f>"芙蓉南路社区"</f>
        <v>芙蓉南路社区</v>
      </c>
      <c r="E619" s="3" t="str">
        <f t="shared" si="241"/>
        <v>140</v>
      </c>
      <c r="F619" s="3" t="str">
        <f t="shared" si="256"/>
        <v>100</v>
      </c>
      <c r="G619" s="3" t="str">
        <f t="shared" si="257"/>
        <v>二级</v>
      </c>
    </row>
    <row r="620" customHeight="1" spans="1:7">
      <c r="A620" s="3" t="str">
        <f>"3019"</f>
        <v>3019</v>
      </c>
      <c r="B620" s="3" t="s">
        <v>2028</v>
      </c>
      <c r="C620" s="3" t="str">
        <f t="shared" si="258"/>
        <v>赤岭路街道</v>
      </c>
      <c r="D620" s="3" t="str">
        <f>"芙蓉南路社区"</f>
        <v>芙蓉南路社区</v>
      </c>
      <c r="E620" s="3" t="str">
        <f t="shared" si="241"/>
        <v>140</v>
      </c>
      <c r="F620" s="3" t="str">
        <f t="shared" si="256"/>
        <v>100</v>
      </c>
      <c r="G620" s="3" t="str">
        <f t="shared" si="257"/>
        <v>二级</v>
      </c>
    </row>
    <row r="621" customHeight="1" spans="1:7">
      <c r="A621" s="3" t="str">
        <f>"3020"</f>
        <v>3020</v>
      </c>
      <c r="B621" s="3" t="s">
        <v>257</v>
      </c>
      <c r="C621" s="3" t="str">
        <f>"暮云街道"</f>
        <v>暮云街道</v>
      </c>
      <c r="D621" s="3" t="str">
        <f>"弘高社区"</f>
        <v>弘高社区</v>
      </c>
      <c r="E621" s="3" t="str">
        <f t="shared" si="241"/>
        <v>140</v>
      </c>
      <c r="F621" s="3" t="str">
        <f t="shared" si="256"/>
        <v>100</v>
      </c>
      <c r="G621" s="3" t="str">
        <f t="shared" si="257"/>
        <v>二级</v>
      </c>
    </row>
    <row r="622" customHeight="1" spans="1:7">
      <c r="A622" s="3" t="str">
        <f>"3021"</f>
        <v>3021</v>
      </c>
      <c r="B622" s="3" t="s">
        <v>1072</v>
      </c>
      <c r="C622" s="3" t="str">
        <f>"南托街道"</f>
        <v>南托街道</v>
      </c>
      <c r="D622" s="3" t="str">
        <f>"牛角塘社区"</f>
        <v>牛角塘社区</v>
      </c>
      <c r="E622" s="3" t="str">
        <f t="shared" si="241"/>
        <v>140</v>
      </c>
      <c r="F622" s="3" t="str">
        <f t="shared" si="256"/>
        <v>100</v>
      </c>
      <c r="G622" s="3" t="str">
        <f>"一级"</f>
        <v>一级</v>
      </c>
    </row>
    <row r="623" customHeight="1" spans="1:7">
      <c r="A623" s="3" t="str">
        <f>"3022"</f>
        <v>3022</v>
      </c>
      <c r="B623" s="3" t="s">
        <v>1837</v>
      </c>
      <c r="C623" s="3" t="str">
        <f t="shared" si="258"/>
        <v>赤岭路街道</v>
      </c>
      <c r="D623" s="3" t="str">
        <f>"新丰社区"</f>
        <v>新丰社区</v>
      </c>
      <c r="E623" s="3" t="str">
        <f t="shared" si="241"/>
        <v>140</v>
      </c>
      <c r="F623" s="3" t="str">
        <f t="shared" si="256"/>
        <v>100</v>
      </c>
      <c r="G623" s="3" t="str">
        <f t="shared" ref="G623:G626" si="259">"二级"</f>
        <v>二级</v>
      </c>
    </row>
    <row r="624" customHeight="1" spans="1:7">
      <c r="A624" s="3" t="str">
        <f>"3023"</f>
        <v>3023</v>
      </c>
      <c r="B624" s="3" t="s">
        <v>745</v>
      </c>
      <c r="C624" s="3" t="str">
        <f t="shared" ref="C624:C628" si="260">"暮云街道"</f>
        <v>暮云街道</v>
      </c>
      <c r="D624" s="3" t="str">
        <f t="shared" ref="D624:D628" si="261">"弘高社区"</f>
        <v>弘高社区</v>
      </c>
      <c r="E624" s="3" t="str">
        <f t="shared" si="241"/>
        <v>140</v>
      </c>
      <c r="F624" s="3" t="str">
        <f t="shared" si="256"/>
        <v>100</v>
      </c>
      <c r="G624" s="3" t="str">
        <f t="shared" si="259"/>
        <v>二级</v>
      </c>
    </row>
    <row r="625" customHeight="1" spans="1:7">
      <c r="A625" s="3" t="str">
        <f>"3024"</f>
        <v>3024</v>
      </c>
      <c r="B625" s="3" t="s">
        <v>957</v>
      </c>
      <c r="C625" s="3" t="str">
        <f>"裕南街街道"</f>
        <v>裕南街街道</v>
      </c>
      <c r="D625" s="3" t="str">
        <f>"火把山社区"</f>
        <v>火把山社区</v>
      </c>
      <c r="E625" s="3" t="str">
        <f t="shared" si="241"/>
        <v>140</v>
      </c>
      <c r="F625" s="3" t="str">
        <f t="shared" si="256"/>
        <v>100</v>
      </c>
      <c r="G625" s="3" t="str">
        <f t="shared" si="259"/>
        <v>二级</v>
      </c>
    </row>
    <row r="626" customHeight="1" spans="1:7">
      <c r="A626" s="3" t="str">
        <f>"3025"</f>
        <v>3025</v>
      </c>
      <c r="B626" s="3" t="s">
        <v>1176</v>
      </c>
      <c r="C626" s="3" t="str">
        <f>"金盆岭街道"</f>
        <v>金盆岭街道</v>
      </c>
      <c r="D626" s="3" t="str">
        <f>"天剑社区"</f>
        <v>天剑社区</v>
      </c>
      <c r="E626" s="3" t="str">
        <f t="shared" si="241"/>
        <v>140</v>
      </c>
      <c r="F626" s="3" t="str">
        <f t="shared" si="256"/>
        <v>100</v>
      </c>
      <c r="G626" s="3" t="str">
        <f t="shared" si="259"/>
        <v>二级</v>
      </c>
    </row>
    <row r="627" customHeight="1" spans="1:7">
      <c r="A627" s="3" t="str">
        <f>"3026"</f>
        <v>3026</v>
      </c>
      <c r="B627" s="3" t="s">
        <v>2029</v>
      </c>
      <c r="C627" s="3" t="str">
        <f t="shared" si="260"/>
        <v>暮云街道</v>
      </c>
      <c r="D627" s="3" t="str">
        <f t="shared" si="261"/>
        <v>弘高社区</v>
      </c>
      <c r="E627" s="3" t="str">
        <f t="shared" si="241"/>
        <v>140</v>
      </c>
      <c r="F627" s="3" t="str">
        <f t="shared" si="256"/>
        <v>100</v>
      </c>
      <c r="G627" s="3" t="str">
        <f>"一级"</f>
        <v>一级</v>
      </c>
    </row>
    <row r="628" customHeight="1" spans="1:7">
      <c r="A628" s="3" t="str">
        <f>"3027"</f>
        <v>3027</v>
      </c>
      <c r="B628" s="3" t="s">
        <v>800</v>
      </c>
      <c r="C628" s="3" t="str">
        <f t="shared" si="260"/>
        <v>暮云街道</v>
      </c>
      <c r="D628" s="3" t="str">
        <f t="shared" si="261"/>
        <v>弘高社区</v>
      </c>
      <c r="E628" s="3" t="str">
        <f t="shared" si="241"/>
        <v>140</v>
      </c>
      <c r="F628" s="3" t="str">
        <f t="shared" si="256"/>
        <v>100</v>
      </c>
      <c r="G628" s="3" t="str">
        <f t="shared" ref="G628:G634" si="262">"二级"</f>
        <v>二级</v>
      </c>
    </row>
    <row r="629" customHeight="1" spans="1:7">
      <c r="A629" s="3" t="str">
        <f>"3028"</f>
        <v>3028</v>
      </c>
      <c r="B629" s="3" t="s">
        <v>2030</v>
      </c>
      <c r="C629" s="3" t="str">
        <f>"桂花坪街道"</f>
        <v>桂花坪街道</v>
      </c>
      <c r="D629" s="3" t="str">
        <f>"金桂社区"</f>
        <v>金桂社区</v>
      </c>
      <c r="E629" s="3" t="str">
        <f t="shared" si="241"/>
        <v>140</v>
      </c>
      <c r="F629" s="3" t="str">
        <f t="shared" si="256"/>
        <v>100</v>
      </c>
      <c r="G629" s="3" t="str">
        <f t="shared" si="262"/>
        <v>二级</v>
      </c>
    </row>
    <row r="630" customHeight="1" spans="1:7">
      <c r="A630" s="3" t="str">
        <f>"3029"</f>
        <v>3029</v>
      </c>
      <c r="B630" s="3" t="s">
        <v>2031</v>
      </c>
      <c r="C630" s="3" t="str">
        <f>"赤岭路街道"</f>
        <v>赤岭路街道</v>
      </c>
      <c r="D630" s="3" t="str">
        <f>"南大桥社区"</f>
        <v>南大桥社区</v>
      </c>
      <c r="E630" s="3" t="str">
        <f t="shared" si="241"/>
        <v>140</v>
      </c>
      <c r="F630" s="3" t="str">
        <f t="shared" si="256"/>
        <v>100</v>
      </c>
      <c r="G630" s="3" t="str">
        <f>"一级"</f>
        <v>一级</v>
      </c>
    </row>
    <row r="631" customHeight="1" spans="1:7">
      <c r="A631" s="3" t="str">
        <f>"3030"</f>
        <v>3030</v>
      </c>
      <c r="B631" s="3" t="s">
        <v>233</v>
      </c>
      <c r="C631" s="3" t="str">
        <f>"城南路街道"</f>
        <v>城南路街道</v>
      </c>
      <c r="D631" s="3" t="str">
        <f>"吴家坪社区"</f>
        <v>吴家坪社区</v>
      </c>
      <c r="E631" s="3" t="str">
        <f t="shared" si="241"/>
        <v>140</v>
      </c>
      <c r="F631" s="3" t="str">
        <f t="shared" si="256"/>
        <v>100</v>
      </c>
      <c r="G631" s="3" t="str">
        <f t="shared" si="262"/>
        <v>二级</v>
      </c>
    </row>
    <row r="632" customHeight="1" spans="1:7">
      <c r="A632" s="3" t="str">
        <f>"3031"</f>
        <v>3031</v>
      </c>
      <c r="B632" s="3" t="s">
        <v>2032</v>
      </c>
      <c r="C632" s="3" t="str">
        <f>"赤岭路街道"</f>
        <v>赤岭路街道</v>
      </c>
      <c r="D632" s="3" t="str">
        <f>"新丰社区"</f>
        <v>新丰社区</v>
      </c>
      <c r="E632" s="3" t="str">
        <f t="shared" si="241"/>
        <v>140</v>
      </c>
      <c r="F632" s="3" t="str">
        <f t="shared" si="256"/>
        <v>100</v>
      </c>
      <c r="G632" s="3" t="str">
        <f t="shared" si="262"/>
        <v>二级</v>
      </c>
    </row>
    <row r="633" customHeight="1" spans="1:7">
      <c r="A633" s="3" t="str">
        <f>"3032"</f>
        <v>3032</v>
      </c>
      <c r="B633" s="3" t="s">
        <v>2033</v>
      </c>
      <c r="C633" s="3" t="str">
        <f>"城南路街道"</f>
        <v>城南路街道</v>
      </c>
      <c r="D633" s="3" t="str">
        <f>"熙台岭社区"</f>
        <v>熙台岭社区</v>
      </c>
      <c r="E633" s="3" t="str">
        <f t="shared" si="241"/>
        <v>140</v>
      </c>
      <c r="F633" s="3" t="str">
        <f t="shared" si="256"/>
        <v>100</v>
      </c>
      <c r="G633" s="3" t="str">
        <f t="shared" si="262"/>
        <v>二级</v>
      </c>
    </row>
    <row r="634" customHeight="1" spans="1:7">
      <c r="A634" s="3" t="str">
        <f>"3033"</f>
        <v>3033</v>
      </c>
      <c r="B634" s="3" t="s">
        <v>2034</v>
      </c>
      <c r="C634" s="3" t="str">
        <f>"青园街道"</f>
        <v>青园街道</v>
      </c>
      <c r="D634" s="3" t="str">
        <f>"井湾子社区"</f>
        <v>井湾子社区</v>
      </c>
      <c r="E634" s="3" t="str">
        <f t="shared" si="241"/>
        <v>140</v>
      </c>
      <c r="F634" s="3" t="str">
        <f t="shared" si="256"/>
        <v>100</v>
      </c>
      <c r="G634" s="3" t="str">
        <f t="shared" si="262"/>
        <v>二级</v>
      </c>
    </row>
    <row r="635" customHeight="1" spans="1:7">
      <c r="A635" s="3" t="str">
        <f>"3034"</f>
        <v>3034</v>
      </c>
      <c r="B635" s="3" t="s">
        <v>2035</v>
      </c>
      <c r="C635" s="3" t="str">
        <f>"黑石铺街道"</f>
        <v>黑石铺街道</v>
      </c>
      <c r="D635" s="3" t="str">
        <f>"一力社区"</f>
        <v>一力社区</v>
      </c>
      <c r="E635" s="3" t="str">
        <f t="shared" si="241"/>
        <v>140</v>
      </c>
      <c r="F635" s="3" t="str">
        <f t="shared" si="256"/>
        <v>100</v>
      </c>
      <c r="G635" s="3" t="str">
        <f>"一级"</f>
        <v>一级</v>
      </c>
    </row>
    <row r="636" customHeight="1" spans="1:7">
      <c r="A636" s="3" t="str">
        <f>"3035"</f>
        <v>3035</v>
      </c>
      <c r="B636" s="3" t="s">
        <v>92</v>
      </c>
      <c r="C636" s="3" t="str">
        <f>"文源街道"</f>
        <v>文源街道</v>
      </c>
      <c r="D636" s="3" t="str">
        <f>"文源社区"</f>
        <v>文源社区</v>
      </c>
      <c r="E636" s="3" t="str">
        <f t="shared" si="241"/>
        <v>140</v>
      </c>
      <c r="F636" s="3" t="str">
        <f t="shared" si="256"/>
        <v>100</v>
      </c>
      <c r="G636" s="3" t="str">
        <f t="shared" ref="G636:G641" si="263">"二级"</f>
        <v>二级</v>
      </c>
    </row>
    <row r="637" customHeight="1" spans="1:7">
      <c r="A637" s="3" t="str">
        <f>"3036"</f>
        <v>3036</v>
      </c>
      <c r="B637" s="3" t="s">
        <v>1962</v>
      </c>
      <c r="C637" s="3" t="str">
        <f>"黑石铺街道"</f>
        <v>黑石铺街道</v>
      </c>
      <c r="D637" s="3" t="str">
        <f>"铭安社区"</f>
        <v>铭安社区</v>
      </c>
      <c r="E637" s="3" t="str">
        <f t="shared" si="241"/>
        <v>140</v>
      </c>
      <c r="F637" s="3" t="str">
        <f t="shared" si="256"/>
        <v>100</v>
      </c>
      <c r="G637" s="3" t="str">
        <f t="shared" si="263"/>
        <v>二级</v>
      </c>
    </row>
    <row r="638" customHeight="1" spans="1:7">
      <c r="A638" s="3" t="str">
        <f>"3037"</f>
        <v>3037</v>
      </c>
      <c r="B638" s="3" t="s">
        <v>1197</v>
      </c>
      <c r="C638" s="3" t="str">
        <f t="shared" ref="C638:C643" si="264">"南托街道"</f>
        <v>南托街道</v>
      </c>
      <c r="D638" s="3" t="str">
        <f>"沿江村"</f>
        <v>沿江村</v>
      </c>
      <c r="E638" s="3" t="str">
        <f t="shared" si="241"/>
        <v>140</v>
      </c>
      <c r="F638" s="3" t="str">
        <f>"0"</f>
        <v>0</v>
      </c>
      <c r="G638" s="3" t="str">
        <f>"四级"</f>
        <v>四级</v>
      </c>
    </row>
    <row r="639" customHeight="1" spans="1:7">
      <c r="A639" s="3" t="str">
        <f>"3038"</f>
        <v>3038</v>
      </c>
      <c r="B639" s="3" t="s">
        <v>2036</v>
      </c>
      <c r="C639" s="3" t="str">
        <f t="shared" si="264"/>
        <v>南托街道</v>
      </c>
      <c r="D639" s="3" t="str">
        <f>"沿江村"</f>
        <v>沿江村</v>
      </c>
      <c r="E639" s="3" t="str">
        <f t="shared" si="241"/>
        <v>140</v>
      </c>
      <c r="F639" s="3" t="str">
        <f>"0"</f>
        <v>0</v>
      </c>
      <c r="G639" s="3" t="str">
        <f>"四级"</f>
        <v>四级</v>
      </c>
    </row>
    <row r="640" customHeight="1" spans="1:7">
      <c r="A640" s="3" t="str">
        <f>"3039"</f>
        <v>3039</v>
      </c>
      <c r="B640" s="3" t="s">
        <v>260</v>
      </c>
      <c r="C640" s="3" t="str">
        <f>"青园街道"</f>
        <v>青园街道</v>
      </c>
      <c r="D640" s="3" t="str">
        <f>"友谊社区"</f>
        <v>友谊社区</v>
      </c>
      <c r="E640" s="3" t="str">
        <f t="shared" si="241"/>
        <v>140</v>
      </c>
      <c r="F640" s="3" t="str">
        <f t="shared" ref="F640:F664" si="265">"100"</f>
        <v>100</v>
      </c>
      <c r="G640" s="3" t="str">
        <f t="shared" si="263"/>
        <v>二级</v>
      </c>
    </row>
    <row r="641" customHeight="1" spans="1:7">
      <c r="A641" s="3" t="str">
        <f>"3040"</f>
        <v>3040</v>
      </c>
      <c r="B641" s="3" t="s">
        <v>2037</v>
      </c>
      <c r="C641" s="3" t="str">
        <f>"裕南街街道"</f>
        <v>裕南街街道</v>
      </c>
      <c r="D641" s="3" t="str">
        <f>"长坡社区"</f>
        <v>长坡社区</v>
      </c>
      <c r="E641" s="3" t="str">
        <f t="shared" si="241"/>
        <v>140</v>
      </c>
      <c r="F641" s="3" t="str">
        <f t="shared" si="265"/>
        <v>100</v>
      </c>
      <c r="G641" s="3" t="str">
        <f t="shared" si="263"/>
        <v>二级</v>
      </c>
    </row>
    <row r="642" customHeight="1" spans="1:7">
      <c r="A642" s="3" t="str">
        <f>"3041"</f>
        <v>3041</v>
      </c>
      <c r="B642" s="3" t="s">
        <v>362</v>
      </c>
      <c r="C642" s="3" t="str">
        <f>"裕南街街道"</f>
        <v>裕南街街道</v>
      </c>
      <c r="D642" s="3" t="str">
        <f>"长坡社区"</f>
        <v>长坡社区</v>
      </c>
      <c r="E642" s="3" t="str">
        <f t="shared" ref="E642:E705" si="266">"140"</f>
        <v>140</v>
      </c>
      <c r="F642" s="3" t="str">
        <f t="shared" si="265"/>
        <v>100</v>
      </c>
      <c r="G642" s="3" t="str">
        <f t="shared" ref="G642:G646" si="267">"一级"</f>
        <v>一级</v>
      </c>
    </row>
    <row r="643" customHeight="1" spans="1:7">
      <c r="A643" s="3" t="str">
        <f>"3042"</f>
        <v>3042</v>
      </c>
      <c r="B643" s="3" t="s">
        <v>2038</v>
      </c>
      <c r="C643" s="3" t="str">
        <f t="shared" si="264"/>
        <v>南托街道</v>
      </c>
      <c r="D643" s="3" t="str">
        <f>"滨洲新村"</f>
        <v>滨洲新村</v>
      </c>
      <c r="E643" s="3" t="str">
        <f t="shared" si="266"/>
        <v>140</v>
      </c>
      <c r="F643" s="3" t="str">
        <f t="shared" si="265"/>
        <v>100</v>
      </c>
      <c r="G643" s="3" t="str">
        <f t="shared" ref="G643:G649" si="268">"二级"</f>
        <v>二级</v>
      </c>
    </row>
    <row r="644" customHeight="1" spans="1:7">
      <c r="A644" s="3" t="str">
        <f>"3043"</f>
        <v>3043</v>
      </c>
      <c r="B644" s="3" t="s">
        <v>2039</v>
      </c>
      <c r="C644" s="3" t="str">
        <f>"黑石铺街道"</f>
        <v>黑石铺街道</v>
      </c>
      <c r="D644" s="3" t="str">
        <f>"一力社区"</f>
        <v>一力社区</v>
      </c>
      <c r="E644" s="3" t="str">
        <f t="shared" si="266"/>
        <v>140</v>
      </c>
      <c r="F644" s="3" t="str">
        <f t="shared" si="265"/>
        <v>100</v>
      </c>
      <c r="G644" s="3" t="str">
        <f t="shared" si="268"/>
        <v>二级</v>
      </c>
    </row>
    <row r="645" customHeight="1" spans="1:7">
      <c r="A645" s="3" t="str">
        <f>"3044"</f>
        <v>3044</v>
      </c>
      <c r="B645" s="3" t="s">
        <v>2040</v>
      </c>
      <c r="C645" s="3" t="str">
        <f>"黑石铺街道"</f>
        <v>黑石铺街道</v>
      </c>
      <c r="D645" s="3" t="str">
        <f>"一力社区"</f>
        <v>一力社区</v>
      </c>
      <c r="E645" s="3" t="str">
        <f t="shared" si="266"/>
        <v>140</v>
      </c>
      <c r="F645" s="3" t="str">
        <f t="shared" si="265"/>
        <v>100</v>
      </c>
      <c r="G645" s="3" t="str">
        <f t="shared" si="267"/>
        <v>一级</v>
      </c>
    </row>
    <row r="646" customHeight="1" spans="1:7">
      <c r="A646" s="3" t="str">
        <f>"3045"</f>
        <v>3045</v>
      </c>
      <c r="B646" s="3" t="s">
        <v>420</v>
      </c>
      <c r="C646" s="3" t="str">
        <f>"新开铺街道"</f>
        <v>新开铺街道</v>
      </c>
      <c r="D646" s="3" t="str">
        <f>"新开铺社区"</f>
        <v>新开铺社区</v>
      </c>
      <c r="E646" s="3" t="str">
        <f t="shared" si="266"/>
        <v>140</v>
      </c>
      <c r="F646" s="3" t="str">
        <f t="shared" si="265"/>
        <v>100</v>
      </c>
      <c r="G646" s="3" t="str">
        <f t="shared" si="267"/>
        <v>一级</v>
      </c>
    </row>
    <row r="647" customHeight="1" spans="1:7">
      <c r="A647" s="3" t="str">
        <f>"3046"</f>
        <v>3046</v>
      </c>
      <c r="B647" s="3" t="s">
        <v>284</v>
      </c>
      <c r="C647" s="3" t="str">
        <f>"城南路街道"</f>
        <v>城南路街道</v>
      </c>
      <c r="D647" s="3" t="str">
        <f>"古道巷社区"</f>
        <v>古道巷社区</v>
      </c>
      <c r="E647" s="3" t="str">
        <f t="shared" si="266"/>
        <v>140</v>
      </c>
      <c r="F647" s="3" t="str">
        <f t="shared" si="265"/>
        <v>100</v>
      </c>
      <c r="G647" s="3" t="str">
        <f t="shared" si="268"/>
        <v>二级</v>
      </c>
    </row>
    <row r="648" customHeight="1" spans="1:7">
      <c r="A648" s="3" t="str">
        <f>"3047"</f>
        <v>3047</v>
      </c>
      <c r="B648" s="3" t="s">
        <v>1619</v>
      </c>
      <c r="C648" s="3" t="str">
        <f t="shared" ref="C648:C650" si="269">"坡子街街道"</f>
        <v>坡子街街道</v>
      </c>
      <c r="D648" s="3" t="str">
        <f>"楚湘社区"</f>
        <v>楚湘社区</v>
      </c>
      <c r="E648" s="3" t="str">
        <f t="shared" si="266"/>
        <v>140</v>
      </c>
      <c r="F648" s="3" t="str">
        <f t="shared" si="265"/>
        <v>100</v>
      </c>
      <c r="G648" s="3" t="str">
        <f t="shared" si="268"/>
        <v>二级</v>
      </c>
    </row>
    <row r="649" customHeight="1" spans="1:7">
      <c r="A649" s="3" t="str">
        <f>"3048"</f>
        <v>3048</v>
      </c>
      <c r="B649" s="3" t="s">
        <v>2041</v>
      </c>
      <c r="C649" s="3" t="str">
        <f t="shared" si="269"/>
        <v>坡子街街道</v>
      </c>
      <c r="D649" s="3" t="str">
        <f>"坡子街社区"</f>
        <v>坡子街社区</v>
      </c>
      <c r="E649" s="3" t="str">
        <f t="shared" si="266"/>
        <v>140</v>
      </c>
      <c r="F649" s="3" t="str">
        <f t="shared" si="265"/>
        <v>100</v>
      </c>
      <c r="G649" s="3" t="str">
        <f t="shared" si="268"/>
        <v>二级</v>
      </c>
    </row>
    <row r="650" customHeight="1" spans="1:7">
      <c r="A650" s="3" t="str">
        <f>"3049"</f>
        <v>3049</v>
      </c>
      <c r="B650" s="3" t="s">
        <v>2042</v>
      </c>
      <c r="C650" s="3" t="str">
        <f t="shared" si="269"/>
        <v>坡子街街道</v>
      </c>
      <c r="D650" s="3" t="str">
        <f>"西牌楼社区"</f>
        <v>西牌楼社区</v>
      </c>
      <c r="E650" s="3" t="str">
        <f t="shared" si="266"/>
        <v>140</v>
      </c>
      <c r="F650" s="3" t="str">
        <f t="shared" si="265"/>
        <v>100</v>
      </c>
      <c r="G650" s="3" t="str">
        <f t="shared" ref="G650:G654" si="270">"一级"</f>
        <v>一级</v>
      </c>
    </row>
    <row r="651" customHeight="1" spans="1:7">
      <c r="A651" s="3" t="str">
        <f>"3050"</f>
        <v>3050</v>
      </c>
      <c r="B651" s="3" t="s">
        <v>341</v>
      </c>
      <c r="C651" s="3" t="str">
        <f>"南托街道"</f>
        <v>南托街道</v>
      </c>
      <c r="D651" s="3" t="str">
        <f>"牛角塘社区"</f>
        <v>牛角塘社区</v>
      </c>
      <c r="E651" s="3" t="str">
        <f t="shared" si="266"/>
        <v>140</v>
      </c>
      <c r="F651" s="3" t="str">
        <f t="shared" si="265"/>
        <v>100</v>
      </c>
      <c r="G651" s="3" t="str">
        <f t="shared" ref="G651:G657" si="271">"二级"</f>
        <v>二级</v>
      </c>
    </row>
    <row r="652" customHeight="1" spans="1:7">
      <c r="A652" s="3" t="str">
        <f>"3051"</f>
        <v>3051</v>
      </c>
      <c r="B652" s="3" t="s">
        <v>2043</v>
      </c>
      <c r="C652" s="3" t="str">
        <f>"裕南街街道"</f>
        <v>裕南街街道</v>
      </c>
      <c r="D652" s="3" t="str">
        <f>"东瓜山社区"</f>
        <v>东瓜山社区</v>
      </c>
      <c r="E652" s="3" t="str">
        <f t="shared" si="266"/>
        <v>140</v>
      </c>
      <c r="F652" s="3" t="str">
        <f t="shared" si="265"/>
        <v>100</v>
      </c>
      <c r="G652" s="3" t="str">
        <f t="shared" si="270"/>
        <v>一级</v>
      </c>
    </row>
    <row r="653" customHeight="1" spans="1:7">
      <c r="A653" s="3" t="str">
        <f>"3052"</f>
        <v>3052</v>
      </c>
      <c r="B653" s="3" t="s">
        <v>2044</v>
      </c>
      <c r="C653" s="3" t="str">
        <f>"城南路街道"</f>
        <v>城南路街道</v>
      </c>
      <c r="D653" s="3" t="str">
        <f>"吴家坪社区"</f>
        <v>吴家坪社区</v>
      </c>
      <c r="E653" s="3" t="str">
        <f t="shared" si="266"/>
        <v>140</v>
      </c>
      <c r="F653" s="3" t="str">
        <f t="shared" si="265"/>
        <v>100</v>
      </c>
      <c r="G653" s="3" t="str">
        <f t="shared" si="271"/>
        <v>二级</v>
      </c>
    </row>
    <row r="654" customHeight="1" spans="1:7">
      <c r="A654" s="3" t="str">
        <f>"3053"</f>
        <v>3053</v>
      </c>
      <c r="B654" s="3" t="s">
        <v>258</v>
      </c>
      <c r="C654" s="3" t="str">
        <f>"城南路街道"</f>
        <v>城南路街道</v>
      </c>
      <c r="D654" s="3" t="str">
        <f>"吴家坪社区"</f>
        <v>吴家坪社区</v>
      </c>
      <c r="E654" s="3" t="str">
        <f t="shared" si="266"/>
        <v>140</v>
      </c>
      <c r="F654" s="3" t="str">
        <f t="shared" si="265"/>
        <v>100</v>
      </c>
      <c r="G654" s="3" t="str">
        <f t="shared" si="270"/>
        <v>一级</v>
      </c>
    </row>
    <row r="655" customHeight="1" spans="1:7">
      <c r="A655" s="3" t="str">
        <f>"3054"</f>
        <v>3054</v>
      </c>
      <c r="B655" s="3" t="s">
        <v>2045</v>
      </c>
      <c r="C655" s="3" t="str">
        <f>"大托铺街道"</f>
        <v>大托铺街道</v>
      </c>
      <c r="D655" s="3" t="str">
        <f>"大托村委会"</f>
        <v>大托村委会</v>
      </c>
      <c r="E655" s="3" t="str">
        <f t="shared" si="266"/>
        <v>140</v>
      </c>
      <c r="F655" s="3" t="str">
        <f t="shared" si="265"/>
        <v>100</v>
      </c>
      <c r="G655" s="3" t="str">
        <f t="shared" si="271"/>
        <v>二级</v>
      </c>
    </row>
    <row r="656" customHeight="1" spans="1:7">
      <c r="A656" s="3" t="str">
        <f>"3055"</f>
        <v>3055</v>
      </c>
      <c r="B656" s="3" t="s">
        <v>307</v>
      </c>
      <c r="C656" s="3" t="str">
        <f>"桂花坪街道"</f>
        <v>桂花坪街道</v>
      </c>
      <c r="D656" s="3" t="str">
        <f>"九峰苑社区"</f>
        <v>九峰苑社区</v>
      </c>
      <c r="E656" s="3" t="str">
        <f t="shared" si="266"/>
        <v>140</v>
      </c>
      <c r="F656" s="3" t="str">
        <f t="shared" si="265"/>
        <v>100</v>
      </c>
      <c r="G656" s="3" t="str">
        <f t="shared" si="271"/>
        <v>二级</v>
      </c>
    </row>
    <row r="657" customHeight="1" spans="1:7">
      <c r="A657" s="3" t="str">
        <f>"3056"</f>
        <v>3056</v>
      </c>
      <c r="B657" s="3" t="s">
        <v>2046</v>
      </c>
      <c r="C657" s="3" t="str">
        <f>"黑石铺街道"</f>
        <v>黑石铺街道</v>
      </c>
      <c r="D657" s="3" t="str">
        <f>"铭安社区"</f>
        <v>铭安社区</v>
      </c>
      <c r="E657" s="3" t="str">
        <f t="shared" si="266"/>
        <v>140</v>
      </c>
      <c r="F657" s="3" t="str">
        <f t="shared" si="265"/>
        <v>100</v>
      </c>
      <c r="G657" s="3" t="str">
        <f t="shared" si="271"/>
        <v>二级</v>
      </c>
    </row>
    <row r="658" customHeight="1" spans="1:7">
      <c r="A658" s="3" t="str">
        <f>"3057"</f>
        <v>3057</v>
      </c>
      <c r="B658" s="3" t="s">
        <v>15</v>
      </c>
      <c r="C658" s="3" t="str">
        <f>"青园街道"</f>
        <v>青园街道</v>
      </c>
      <c r="D658" s="3" t="str">
        <f>"友谊社区"</f>
        <v>友谊社区</v>
      </c>
      <c r="E658" s="3" t="str">
        <f t="shared" si="266"/>
        <v>140</v>
      </c>
      <c r="F658" s="3" t="str">
        <f t="shared" si="265"/>
        <v>100</v>
      </c>
      <c r="G658" s="3" t="str">
        <f>"一级"</f>
        <v>一级</v>
      </c>
    </row>
    <row r="659" customHeight="1" spans="1:7">
      <c r="A659" s="3" t="str">
        <f>"3058"</f>
        <v>3058</v>
      </c>
      <c r="B659" s="3" t="s">
        <v>70</v>
      </c>
      <c r="C659" s="3" t="str">
        <f>"文源街道"</f>
        <v>文源街道</v>
      </c>
      <c r="D659" s="3" t="str">
        <f>"金汇社区"</f>
        <v>金汇社区</v>
      </c>
      <c r="E659" s="3" t="str">
        <f t="shared" si="266"/>
        <v>140</v>
      </c>
      <c r="F659" s="3" t="str">
        <f t="shared" si="265"/>
        <v>100</v>
      </c>
      <c r="G659" s="3" t="str">
        <f t="shared" ref="G659:G663" si="272">"二级"</f>
        <v>二级</v>
      </c>
    </row>
    <row r="660" customHeight="1" spans="1:7">
      <c r="A660" s="3" t="str">
        <f>"3059"</f>
        <v>3059</v>
      </c>
      <c r="B660" s="3" t="s">
        <v>2047</v>
      </c>
      <c r="C660" s="3" t="str">
        <f>"暮云街道"</f>
        <v>暮云街道</v>
      </c>
      <c r="D660" s="3" t="str">
        <f>"莲华村"</f>
        <v>莲华村</v>
      </c>
      <c r="E660" s="3" t="str">
        <f t="shared" si="266"/>
        <v>140</v>
      </c>
      <c r="F660" s="3" t="str">
        <f t="shared" si="265"/>
        <v>100</v>
      </c>
      <c r="G660" s="3" t="str">
        <f t="shared" si="272"/>
        <v>二级</v>
      </c>
    </row>
    <row r="661" customHeight="1" spans="1:7">
      <c r="A661" s="3" t="str">
        <f>"3060"</f>
        <v>3060</v>
      </c>
      <c r="B661" s="3" t="s">
        <v>1455</v>
      </c>
      <c r="C661" s="3" t="str">
        <f>"赤岭路街道"</f>
        <v>赤岭路街道</v>
      </c>
      <c r="D661" s="3" t="str">
        <f>"南大桥社区"</f>
        <v>南大桥社区</v>
      </c>
      <c r="E661" s="3" t="str">
        <f t="shared" si="266"/>
        <v>140</v>
      </c>
      <c r="F661" s="3" t="str">
        <f t="shared" si="265"/>
        <v>100</v>
      </c>
      <c r="G661" s="3" t="str">
        <f>"一级"</f>
        <v>一级</v>
      </c>
    </row>
    <row r="662" customHeight="1" spans="1:7">
      <c r="A662" s="3" t="str">
        <f>"3061"</f>
        <v>3061</v>
      </c>
      <c r="B662" s="3" t="s">
        <v>710</v>
      </c>
      <c r="C662" s="3" t="str">
        <f>"坡子街街道"</f>
        <v>坡子街街道</v>
      </c>
      <c r="D662" s="3" t="str">
        <f>"楚湘社区"</f>
        <v>楚湘社区</v>
      </c>
      <c r="E662" s="3" t="str">
        <f t="shared" si="266"/>
        <v>140</v>
      </c>
      <c r="F662" s="3" t="str">
        <f t="shared" si="265"/>
        <v>100</v>
      </c>
      <c r="G662" s="3" t="str">
        <f t="shared" si="272"/>
        <v>二级</v>
      </c>
    </row>
    <row r="663" customHeight="1" spans="1:7">
      <c r="A663" s="3" t="str">
        <f>"3062"</f>
        <v>3062</v>
      </c>
      <c r="B663" s="3" t="s">
        <v>70</v>
      </c>
      <c r="C663" s="3" t="str">
        <f>"城南路街道"</f>
        <v>城南路街道</v>
      </c>
      <c r="D663" s="3" t="str">
        <f>"古道巷社区"</f>
        <v>古道巷社区</v>
      </c>
      <c r="E663" s="3" t="str">
        <f t="shared" si="266"/>
        <v>140</v>
      </c>
      <c r="F663" s="3" t="str">
        <f t="shared" si="265"/>
        <v>100</v>
      </c>
      <c r="G663" s="3" t="str">
        <f t="shared" si="272"/>
        <v>二级</v>
      </c>
    </row>
    <row r="664" customHeight="1" spans="1:7">
      <c r="A664" s="3" t="str">
        <f>"3063"</f>
        <v>3063</v>
      </c>
      <c r="B664" s="3" t="s">
        <v>398</v>
      </c>
      <c r="C664" s="3" t="str">
        <f>"新开铺街道"</f>
        <v>新开铺街道</v>
      </c>
      <c r="D664" s="3" t="str">
        <f>"木莲社区"</f>
        <v>木莲社区</v>
      </c>
      <c r="E664" s="3" t="str">
        <f t="shared" si="266"/>
        <v>140</v>
      </c>
      <c r="F664" s="3" t="str">
        <f t="shared" si="265"/>
        <v>100</v>
      </c>
      <c r="G664" s="3" t="str">
        <f t="shared" ref="G664:G669" si="273">"一级"</f>
        <v>一级</v>
      </c>
    </row>
    <row r="665" customHeight="1" spans="1:7">
      <c r="A665" s="3" t="str">
        <f>"3064"</f>
        <v>3064</v>
      </c>
      <c r="B665" s="3" t="s">
        <v>2048</v>
      </c>
      <c r="C665" s="3" t="str">
        <f>"赤岭路街道"</f>
        <v>赤岭路街道</v>
      </c>
      <c r="D665" s="3" t="str">
        <f>"新丰社区"</f>
        <v>新丰社区</v>
      </c>
      <c r="E665" s="3" t="str">
        <f t="shared" si="266"/>
        <v>140</v>
      </c>
      <c r="F665" s="3" t="str">
        <f>"0"</f>
        <v>0</v>
      </c>
      <c r="G665" s="3" t="str">
        <f>"四级"</f>
        <v>四级</v>
      </c>
    </row>
    <row r="666" customHeight="1" spans="1:7">
      <c r="A666" s="3" t="str">
        <f>"3065"</f>
        <v>3065</v>
      </c>
      <c r="B666" s="3" t="s">
        <v>2049</v>
      </c>
      <c r="C666" s="3" t="str">
        <f>"文源街道"</f>
        <v>文源街道</v>
      </c>
      <c r="D666" s="3" t="str">
        <f>"状元坡社区"</f>
        <v>状元坡社区</v>
      </c>
      <c r="E666" s="3" t="str">
        <f t="shared" si="266"/>
        <v>140</v>
      </c>
      <c r="F666" s="3" t="str">
        <f t="shared" ref="F666:F670" si="274">"100"</f>
        <v>100</v>
      </c>
      <c r="G666" s="3" t="str">
        <f t="shared" ref="G666:G670" si="275">"二级"</f>
        <v>二级</v>
      </c>
    </row>
    <row r="667" customHeight="1" spans="1:7">
      <c r="A667" s="3" t="str">
        <f>"3066"</f>
        <v>3066</v>
      </c>
      <c r="B667" s="3" t="s">
        <v>1733</v>
      </c>
      <c r="C667" s="3" t="str">
        <f>"暮云街道"</f>
        <v>暮云街道</v>
      </c>
      <c r="D667" s="3" t="str">
        <f>"莲华村"</f>
        <v>莲华村</v>
      </c>
      <c r="E667" s="3" t="str">
        <f t="shared" si="266"/>
        <v>140</v>
      </c>
      <c r="F667" s="3" t="str">
        <f t="shared" si="274"/>
        <v>100</v>
      </c>
      <c r="G667" s="3" t="str">
        <f t="shared" si="275"/>
        <v>二级</v>
      </c>
    </row>
    <row r="668" customHeight="1" spans="1:7">
      <c r="A668" s="3" t="str">
        <f>"3067"</f>
        <v>3067</v>
      </c>
      <c r="B668" s="3" t="s">
        <v>2050</v>
      </c>
      <c r="C668" s="3" t="str">
        <f t="shared" ref="C668:C673" si="276">"裕南街街道"</f>
        <v>裕南街街道</v>
      </c>
      <c r="D668" s="3" t="str">
        <f>"宝塔山社区"</f>
        <v>宝塔山社区</v>
      </c>
      <c r="E668" s="3" t="str">
        <f t="shared" si="266"/>
        <v>140</v>
      </c>
      <c r="F668" s="3" t="str">
        <f t="shared" si="274"/>
        <v>100</v>
      </c>
      <c r="G668" s="3" t="str">
        <f t="shared" si="273"/>
        <v>一级</v>
      </c>
    </row>
    <row r="669" customHeight="1" spans="1:7">
      <c r="A669" s="3" t="str">
        <f>"3068"</f>
        <v>3068</v>
      </c>
      <c r="B669" s="3" t="s">
        <v>500</v>
      </c>
      <c r="C669" s="3" t="str">
        <f t="shared" ref="C669:C671" si="277">"坡子街街道"</f>
        <v>坡子街街道</v>
      </c>
      <c r="D669" s="3" t="str">
        <f>"坡子街社区"</f>
        <v>坡子街社区</v>
      </c>
      <c r="E669" s="3" t="str">
        <f t="shared" si="266"/>
        <v>140</v>
      </c>
      <c r="F669" s="3" t="str">
        <f t="shared" si="274"/>
        <v>100</v>
      </c>
      <c r="G669" s="3" t="str">
        <f t="shared" si="273"/>
        <v>一级</v>
      </c>
    </row>
    <row r="670" customHeight="1" spans="1:7">
      <c r="A670" s="3" t="str">
        <f>"3069"</f>
        <v>3069</v>
      </c>
      <c r="B670" s="3" t="s">
        <v>616</v>
      </c>
      <c r="C670" s="3" t="str">
        <f t="shared" si="277"/>
        <v>坡子街街道</v>
      </c>
      <c r="D670" s="3" t="str">
        <f>"青山祠社区"</f>
        <v>青山祠社区</v>
      </c>
      <c r="E670" s="3" t="str">
        <f t="shared" si="266"/>
        <v>140</v>
      </c>
      <c r="F670" s="3" t="str">
        <f t="shared" si="274"/>
        <v>100</v>
      </c>
      <c r="G670" s="3" t="str">
        <f t="shared" si="275"/>
        <v>二级</v>
      </c>
    </row>
    <row r="671" customHeight="1" spans="1:7">
      <c r="A671" s="3" t="str">
        <f>"3070"</f>
        <v>3070</v>
      </c>
      <c r="B671" s="3" t="s">
        <v>2051</v>
      </c>
      <c r="C671" s="3" t="str">
        <f t="shared" si="277"/>
        <v>坡子街街道</v>
      </c>
      <c r="D671" s="3" t="str">
        <f>"西湖社区"</f>
        <v>西湖社区</v>
      </c>
      <c r="E671" s="3" t="str">
        <f t="shared" si="266"/>
        <v>140</v>
      </c>
      <c r="F671" s="3" t="str">
        <f>"0"</f>
        <v>0</v>
      </c>
      <c r="G671" s="3" t="str">
        <f>"四级"</f>
        <v>四级</v>
      </c>
    </row>
    <row r="672" customHeight="1" spans="1:7">
      <c r="A672" s="3" t="str">
        <f>"3071"</f>
        <v>3071</v>
      </c>
      <c r="B672" s="3" t="s">
        <v>2052</v>
      </c>
      <c r="C672" s="3" t="str">
        <f t="shared" si="276"/>
        <v>裕南街街道</v>
      </c>
      <c r="D672" s="3" t="str">
        <f>"宝塔山社区"</f>
        <v>宝塔山社区</v>
      </c>
      <c r="E672" s="3" t="str">
        <f t="shared" si="266"/>
        <v>140</v>
      </c>
      <c r="F672" s="3" t="str">
        <f t="shared" ref="F672:F684" si="278">"100"</f>
        <v>100</v>
      </c>
      <c r="G672" s="3" t="str">
        <f t="shared" ref="G672:G676" si="279">"二级"</f>
        <v>二级</v>
      </c>
    </row>
    <row r="673" customHeight="1" spans="1:7">
      <c r="A673" s="3" t="str">
        <f>"3072"</f>
        <v>3072</v>
      </c>
      <c r="B673" s="3" t="s">
        <v>2053</v>
      </c>
      <c r="C673" s="3" t="str">
        <f t="shared" si="276"/>
        <v>裕南街街道</v>
      </c>
      <c r="D673" s="3" t="str">
        <f>"向东南社区"</f>
        <v>向东南社区</v>
      </c>
      <c r="E673" s="3" t="str">
        <f t="shared" si="266"/>
        <v>140</v>
      </c>
      <c r="F673" s="3" t="str">
        <f t="shared" si="278"/>
        <v>100</v>
      </c>
      <c r="G673" s="3" t="str">
        <f t="shared" si="279"/>
        <v>二级</v>
      </c>
    </row>
    <row r="674" customHeight="1" spans="1:7">
      <c r="A674" s="3" t="str">
        <f>"3073"</f>
        <v>3073</v>
      </c>
      <c r="B674" s="3" t="s">
        <v>2054</v>
      </c>
      <c r="C674" s="3" t="str">
        <f t="shared" ref="C674:C682" si="280">"城南路街道"</f>
        <v>城南路街道</v>
      </c>
      <c r="D674" s="3" t="str">
        <f>"熙台岭社区"</f>
        <v>熙台岭社区</v>
      </c>
      <c r="E674" s="3" t="str">
        <f t="shared" si="266"/>
        <v>140</v>
      </c>
      <c r="F674" s="3" t="str">
        <f t="shared" si="278"/>
        <v>100</v>
      </c>
      <c r="G674" s="3" t="str">
        <f t="shared" si="279"/>
        <v>二级</v>
      </c>
    </row>
    <row r="675" customHeight="1" spans="1:7">
      <c r="A675" s="3" t="str">
        <f>"3074"</f>
        <v>3074</v>
      </c>
      <c r="B675" s="3" t="s">
        <v>139</v>
      </c>
      <c r="C675" s="3" t="str">
        <f>"新开铺街道"</f>
        <v>新开铺街道</v>
      </c>
      <c r="D675" s="3" t="str">
        <f>"桥头社区"</f>
        <v>桥头社区</v>
      </c>
      <c r="E675" s="3" t="str">
        <f t="shared" si="266"/>
        <v>140</v>
      </c>
      <c r="F675" s="3" t="str">
        <f t="shared" si="278"/>
        <v>100</v>
      </c>
      <c r="G675" s="3" t="str">
        <f t="shared" si="279"/>
        <v>二级</v>
      </c>
    </row>
    <row r="676" customHeight="1" spans="1:7">
      <c r="A676" s="3" t="str">
        <f>"3075"</f>
        <v>3075</v>
      </c>
      <c r="B676" s="3" t="s">
        <v>2055</v>
      </c>
      <c r="C676" s="3" t="str">
        <f>"坡子街街道"</f>
        <v>坡子街街道</v>
      </c>
      <c r="D676" s="3" t="str">
        <f>"登仁桥社区"</f>
        <v>登仁桥社区</v>
      </c>
      <c r="E676" s="3" t="str">
        <f t="shared" si="266"/>
        <v>140</v>
      </c>
      <c r="F676" s="3" t="str">
        <f t="shared" si="278"/>
        <v>100</v>
      </c>
      <c r="G676" s="3" t="str">
        <f t="shared" si="279"/>
        <v>二级</v>
      </c>
    </row>
    <row r="677" customHeight="1" spans="1:7">
      <c r="A677" s="3" t="str">
        <f>"3076"</f>
        <v>3076</v>
      </c>
      <c r="B677" s="3" t="s">
        <v>2056</v>
      </c>
      <c r="C677" s="3" t="str">
        <f>"坡子街街道"</f>
        <v>坡子街街道</v>
      </c>
      <c r="D677" s="3" t="str">
        <f>"创远社区"</f>
        <v>创远社区</v>
      </c>
      <c r="E677" s="3" t="str">
        <f t="shared" si="266"/>
        <v>140</v>
      </c>
      <c r="F677" s="3" t="str">
        <f t="shared" si="278"/>
        <v>100</v>
      </c>
      <c r="G677" s="3" t="str">
        <f>"一级"</f>
        <v>一级</v>
      </c>
    </row>
    <row r="678" customHeight="1" spans="1:7">
      <c r="A678" s="3" t="str">
        <f>"3077"</f>
        <v>3077</v>
      </c>
      <c r="B678" s="3" t="s">
        <v>677</v>
      </c>
      <c r="C678" s="3" t="str">
        <f t="shared" si="280"/>
        <v>城南路街道</v>
      </c>
      <c r="D678" s="3" t="str">
        <f>"燕子岭社区"</f>
        <v>燕子岭社区</v>
      </c>
      <c r="E678" s="3" t="str">
        <f t="shared" si="266"/>
        <v>140</v>
      </c>
      <c r="F678" s="3" t="str">
        <f t="shared" si="278"/>
        <v>100</v>
      </c>
      <c r="G678" s="3" t="str">
        <f t="shared" ref="G678:G683" si="281">"二级"</f>
        <v>二级</v>
      </c>
    </row>
    <row r="679" customHeight="1" spans="1:7">
      <c r="A679" s="3" t="str">
        <f>"3078"</f>
        <v>3078</v>
      </c>
      <c r="B679" s="3" t="s">
        <v>1598</v>
      </c>
      <c r="C679" s="3" t="str">
        <f t="shared" si="280"/>
        <v>城南路街道</v>
      </c>
      <c r="D679" s="3" t="str">
        <f>"天心阁社区"</f>
        <v>天心阁社区</v>
      </c>
      <c r="E679" s="3" t="str">
        <f t="shared" si="266"/>
        <v>140</v>
      </c>
      <c r="F679" s="3" t="str">
        <f t="shared" si="278"/>
        <v>100</v>
      </c>
      <c r="G679" s="3" t="str">
        <f t="shared" si="281"/>
        <v>二级</v>
      </c>
    </row>
    <row r="680" customHeight="1" spans="1:7">
      <c r="A680" s="3" t="str">
        <f>"3079"</f>
        <v>3079</v>
      </c>
      <c r="B680" s="3" t="s">
        <v>2057</v>
      </c>
      <c r="C680" s="3" t="str">
        <f t="shared" si="280"/>
        <v>城南路街道</v>
      </c>
      <c r="D680" s="3" t="str">
        <f>"熙台岭社区"</f>
        <v>熙台岭社区</v>
      </c>
      <c r="E680" s="3" t="str">
        <f t="shared" si="266"/>
        <v>140</v>
      </c>
      <c r="F680" s="3" t="str">
        <f t="shared" si="278"/>
        <v>100</v>
      </c>
      <c r="G680" s="3" t="str">
        <f>"一级"</f>
        <v>一级</v>
      </c>
    </row>
    <row r="681" customHeight="1" spans="1:7">
      <c r="A681" s="3" t="str">
        <f>"3080"</f>
        <v>3080</v>
      </c>
      <c r="B681" s="3" t="s">
        <v>2058</v>
      </c>
      <c r="C681" s="3" t="str">
        <f t="shared" si="280"/>
        <v>城南路街道</v>
      </c>
      <c r="D681" s="3" t="str">
        <f>"古道巷社区"</f>
        <v>古道巷社区</v>
      </c>
      <c r="E681" s="3" t="str">
        <f t="shared" si="266"/>
        <v>140</v>
      </c>
      <c r="F681" s="3" t="str">
        <f t="shared" si="278"/>
        <v>100</v>
      </c>
      <c r="G681" s="3" t="str">
        <f t="shared" si="281"/>
        <v>二级</v>
      </c>
    </row>
    <row r="682" customHeight="1" spans="1:7">
      <c r="A682" s="3" t="str">
        <f>"3081"</f>
        <v>3081</v>
      </c>
      <c r="B682" s="3" t="s">
        <v>2059</v>
      </c>
      <c r="C682" s="3" t="str">
        <f t="shared" si="280"/>
        <v>城南路街道</v>
      </c>
      <c r="D682" s="3" t="str">
        <f>"吴家坪社区"</f>
        <v>吴家坪社区</v>
      </c>
      <c r="E682" s="3" t="str">
        <f t="shared" si="266"/>
        <v>140</v>
      </c>
      <c r="F682" s="3" t="str">
        <f t="shared" si="278"/>
        <v>100</v>
      </c>
      <c r="G682" s="3" t="str">
        <f t="shared" si="281"/>
        <v>二级</v>
      </c>
    </row>
    <row r="683" customHeight="1" spans="1:7">
      <c r="A683" s="3" t="str">
        <f>"3082"</f>
        <v>3082</v>
      </c>
      <c r="B683" s="3" t="s">
        <v>2060</v>
      </c>
      <c r="C683" s="3" t="str">
        <f>"青园街道"</f>
        <v>青园街道</v>
      </c>
      <c r="D683" s="3" t="str">
        <f>"友谊社区"</f>
        <v>友谊社区</v>
      </c>
      <c r="E683" s="3" t="str">
        <f t="shared" si="266"/>
        <v>140</v>
      </c>
      <c r="F683" s="3" t="str">
        <f t="shared" si="278"/>
        <v>100</v>
      </c>
      <c r="G683" s="3" t="str">
        <f t="shared" si="281"/>
        <v>二级</v>
      </c>
    </row>
    <row r="684" customHeight="1" spans="1:7">
      <c r="A684" s="3" t="str">
        <f>"3083"</f>
        <v>3083</v>
      </c>
      <c r="B684" s="3" t="s">
        <v>2061</v>
      </c>
      <c r="C684" s="3" t="str">
        <f>"裕南街街道"</f>
        <v>裕南街街道</v>
      </c>
      <c r="D684" s="3" t="str">
        <f>"长坡社区"</f>
        <v>长坡社区</v>
      </c>
      <c r="E684" s="3" t="str">
        <f t="shared" si="266"/>
        <v>140</v>
      </c>
      <c r="F684" s="3" t="str">
        <f t="shared" si="278"/>
        <v>100</v>
      </c>
      <c r="G684" s="3" t="str">
        <f t="shared" ref="G684:G692" si="282">"一级"</f>
        <v>一级</v>
      </c>
    </row>
    <row r="685" customHeight="1" spans="1:7">
      <c r="A685" s="3" t="str">
        <f>"3084"</f>
        <v>3084</v>
      </c>
      <c r="B685" s="3" t="s">
        <v>139</v>
      </c>
      <c r="C685" s="3" t="str">
        <f>"大托铺街道"</f>
        <v>大托铺街道</v>
      </c>
      <c r="D685" s="3" t="str">
        <f>"新港村委会"</f>
        <v>新港村委会</v>
      </c>
      <c r="E685" s="3" t="str">
        <f t="shared" si="266"/>
        <v>140</v>
      </c>
      <c r="F685" s="3" t="str">
        <f>"0"</f>
        <v>0</v>
      </c>
      <c r="G685" s="3" t="str">
        <f>"三级"</f>
        <v>三级</v>
      </c>
    </row>
    <row r="686" customHeight="1" spans="1:7">
      <c r="A686" s="3" t="str">
        <f>"3085"</f>
        <v>3085</v>
      </c>
      <c r="B686" s="3" t="s">
        <v>1513</v>
      </c>
      <c r="C686" s="3" t="str">
        <f>"南托街道"</f>
        <v>南托街道</v>
      </c>
      <c r="D686" s="3" t="str">
        <f>"北塘社区"</f>
        <v>北塘社区</v>
      </c>
      <c r="E686" s="3" t="str">
        <f t="shared" si="266"/>
        <v>140</v>
      </c>
      <c r="F686" s="3" t="str">
        <f t="shared" ref="F686:F697" si="283">"100"</f>
        <v>100</v>
      </c>
      <c r="G686" s="3" t="str">
        <f>"二级"</f>
        <v>二级</v>
      </c>
    </row>
    <row r="687" customHeight="1" spans="1:7">
      <c r="A687" s="3" t="str">
        <f>"3086"</f>
        <v>3086</v>
      </c>
      <c r="B687" s="3" t="s">
        <v>2062</v>
      </c>
      <c r="C687" s="3" t="str">
        <f>"南托街道"</f>
        <v>南托街道</v>
      </c>
      <c r="D687" s="3" t="str">
        <f>"融城社区"</f>
        <v>融城社区</v>
      </c>
      <c r="E687" s="3" t="str">
        <f t="shared" si="266"/>
        <v>140</v>
      </c>
      <c r="F687" s="3" t="str">
        <f t="shared" si="283"/>
        <v>100</v>
      </c>
      <c r="G687" s="3" t="str">
        <f t="shared" si="282"/>
        <v>一级</v>
      </c>
    </row>
    <row r="688" customHeight="1" spans="1:7">
      <c r="A688" s="3" t="str">
        <f>"3087"</f>
        <v>3087</v>
      </c>
      <c r="B688" s="3" t="s">
        <v>2063</v>
      </c>
      <c r="C688" s="3" t="str">
        <f>"金盆岭街道"</f>
        <v>金盆岭街道</v>
      </c>
      <c r="D688" s="3" t="str">
        <f>"黄土岭社区"</f>
        <v>黄土岭社区</v>
      </c>
      <c r="E688" s="3" t="str">
        <f t="shared" si="266"/>
        <v>140</v>
      </c>
      <c r="F688" s="3" t="str">
        <f t="shared" si="283"/>
        <v>100</v>
      </c>
      <c r="G688" s="3" t="str">
        <f>"二级"</f>
        <v>二级</v>
      </c>
    </row>
    <row r="689" customHeight="1" spans="1:7">
      <c r="A689" s="3" t="str">
        <f>"3088"</f>
        <v>3088</v>
      </c>
      <c r="B689" s="3" t="s">
        <v>2064</v>
      </c>
      <c r="C689" s="3" t="str">
        <f t="shared" ref="C689:C693" si="284">"坡子街街道"</f>
        <v>坡子街街道</v>
      </c>
      <c r="D689" s="3" t="str">
        <f>"碧湘社区"</f>
        <v>碧湘社区</v>
      </c>
      <c r="E689" s="3" t="str">
        <f t="shared" si="266"/>
        <v>140</v>
      </c>
      <c r="F689" s="3" t="str">
        <f t="shared" si="283"/>
        <v>100</v>
      </c>
      <c r="G689" s="3" t="str">
        <f t="shared" si="282"/>
        <v>一级</v>
      </c>
    </row>
    <row r="690" customHeight="1" spans="1:7">
      <c r="A690" s="3" t="str">
        <f>"3089"</f>
        <v>3089</v>
      </c>
      <c r="B690" s="3" t="s">
        <v>2065</v>
      </c>
      <c r="C690" s="3" t="str">
        <f t="shared" si="284"/>
        <v>坡子街街道</v>
      </c>
      <c r="D690" s="3" t="str">
        <f>"碧湘社区"</f>
        <v>碧湘社区</v>
      </c>
      <c r="E690" s="3" t="str">
        <f t="shared" si="266"/>
        <v>140</v>
      </c>
      <c r="F690" s="3" t="str">
        <f t="shared" si="283"/>
        <v>100</v>
      </c>
      <c r="G690" s="3" t="str">
        <f t="shared" si="282"/>
        <v>一级</v>
      </c>
    </row>
    <row r="691" customHeight="1" spans="1:7">
      <c r="A691" s="3" t="str">
        <f>"3090"</f>
        <v>3090</v>
      </c>
      <c r="B691" s="3" t="s">
        <v>2066</v>
      </c>
      <c r="C691" s="3" t="str">
        <f>"大托铺街道"</f>
        <v>大托铺街道</v>
      </c>
      <c r="D691" s="3" t="str">
        <f>"新港村委会"</f>
        <v>新港村委会</v>
      </c>
      <c r="E691" s="3" t="str">
        <f t="shared" si="266"/>
        <v>140</v>
      </c>
      <c r="F691" s="3" t="str">
        <f t="shared" si="283"/>
        <v>100</v>
      </c>
      <c r="G691" s="3" t="str">
        <f t="shared" si="282"/>
        <v>一级</v>
      </c>
    </row>
    <row r="692" customHeight="1" spans="1:7">
      <c r="A692" s="3" t="str">
        <f>"3091"</f>
        <v>3091</v>
      </c>
      <c r="B692" s="3" t="s">
        <v>1574</v>
      </c>
      <c r="C692" s="3" t="str">
        <f>"大托铺街道"</f>
        <v>大托铺街道</v>
      </c>
      <c r="D692" s="3" t="str">
        <f>"桂井村委会"</f>
        <v>桂井村委会</v>
      </c>
      <c r="E692" s="3" t="str">
        <f t="shared" si="266"/>
        <v>140</v>
      </c>
      <c r="F692" s="3" t="str">
        <f t="shared" si="283"/>
        <v>100</v>
      </c>
      <c r="G692" s="3" t="str">
        <f t="shared" si="282"/>
        <v>一级</v>
      </c>
    </row>
    <row r="693" customHeight="1" spans="1:7">
      <c r="A693" s="3" t="str">
        <f>"3092"</f>
        <v>3092</v>
      </c>
      <c r="B693" s="3" t="s">
        <v>119</v>
      </c>
      <c r="C693" s="3" t="str">
        <f t="shared" si="284"/>
        <v>坡子街街道</v>
      </c>
      <c r="D693" s="3" t="str">
        <f>"登仁桥社区"</f>
        <v>登仁桥社区</v>
      </c>
      <c r="E693" s="3" t="str">
        <f t="shared" si="266"/>
        <v>140</v>
      </c>
      <c r="F693" s="3" t="str">
        <f t="shared" si="283"/>
        <v>100</v>
      </c>
      <c r="G693" s="3" t="str">
        <f>"二级"</f>
        <v>二级</v>
      </c>
    </row>
    <row r="694" customHeight="1" spans="1:7">
      <c r="A694" s="3" t="str">
        <f>"3093"</f>
        <v>3093</v>
      </c>
      <c r="B694" s="3" t="s">
        <v>2067</v>
      </c>
      <c r="C694" s="3" t="str">
        <f>"文源街道"</f>
        <v>文源街道</v>
      </c>
      <c r="D694" s="3" t="str">
        <f>"梅岭社区"</f>
        <v>梅岭社区</v>
      </c>
      <c r="E694" s="3" t="str">
        <f t="shared" si="266"/>
        <v>140</v>
      </c>
      <c r="F694" s="3" t="str">
        <f t="shared" si="283"/>
        <v>100</v>
      </c>
      <c r="G694" s="3" t="str">
        <f t="shared" ref="G694:G697" si="285">"一级"</f>
        <v>一级</v>
      </c>
    </row>
    <row r="695" customHeight="1" spans="1:7">
      <c r="A695" s="3" t="str">
        <f>"3094"</f>
        <v>3094</v>
      </c>
      <c r="B695" s="3" t="s">
        <v>76</v>
      </c>
      <c r="C695" s="3" t="str">
        <f>"青园街道"</f>
        <v>青园街道</v>
      </c>
      <c r="D695" s="3" t="str">
        <f>"井湾子社区"</f>
        <v>井湾子社区</v>
      </c>
      <c r="E695" s="3" t="str">
        <f t="shared" si="266"/>
        <v>140</v>
      </c>
      <c r="F695" s="3" t="str">
        <f t="shared" si="283"/>
        <v>100</v>
      </c>
      <c r="G695" s="3" t="str">
        <f t="shared" si="285"/>
        <v>一级</v>
      </c>
    </row>
    <row r="696" customHeight="1" spans="1:7">
      <c r="A696" s="3" t="str">
        <f>"3095"</f>
        <v>3095</v>
      </c>
      <c r="B696" s="3" t="s">
        <v>2068</v>
      </c>
      <c r="C696" s="3" t="str">
        <f>"新开铺街道"</f>
        <v>新开铺街道</v>
      </c>
      <c r="D696" s="3" t="str">
        <f>"桥头社区"</f>
        <v>桥头社区</v>
      </c>
      <c r="E696" s="3" t="str">
        <f t="shared" si="266"/>
        <v>140</v>
      </c>
      <c r="F696" s="3" t="str">
        <f t="shared" si="283"/>
        <v>100</v>
      </c>
      <c r="G696" s="3" t="str">
        <f t="shared" si="285"/>
        <v>一级</v>
      </c>
    </row>
    <row r="697" customHeight="1" spans="1:7">
      <c r="A697" s="3" t="str">
        <f>"3096"</f>
        <v>3096</v>
      </c>
      <c r="B697" s="3" t="s">
        <v>2069</v>
      </c>
      <c r="C697" s="3" t="str">
        <f>"裕南街街道"</f>
        <v>裕南街街道</v>
      </c>
      <c r="D697" s="3" t="str">
        <f>"东瓜山社区"</f>
        <v>东瓜山社区</v>
      </c>
      <c r="E697" s="3" t="str">
        <f t="shared" si="266"/>
        <v>140</v>
      </c>
      <c r="F697" s="3" t="str">
        <f t="shared" si="283"/>
        <v>100</v>
      </c>
      <c r="G697" s="3" t="str">
        <f t="shared" si="285"/>
        <v>一级</v>
      </c>
    </row>
    <row r="698" customHeight="1" spans="1:7">
      <c r="A698" s="3" t="str">
        <f>"3097"</f>
        <v>3097</v>
      </c>
      <c r="B698" s="3" t="s">
        <v>2070</v>
      </c>
      <c r="C698" s="3" t="str">
        <f>"坡子街街道"</f>
        <v>坡子街街道</v>
      </c>
      <c r="D698" s="3" t="str">
        <f>"登仁桥社区"</f>
        <v>登仁桥社区</v>
      </c>
      <c r="E698" s="3" t="str">
        <f t="shared" si="266"/>
        <v>140</v>
      </c>
      <c r="F698" s="3" t="str">
        <f>"0"</f>
        <v>0</v>
      </c>
      <c r="G698" s="3" t="str">
        <f>"三级"</f>
        <v>三级</v>
      </c>
    </row>
    <row r="699" customHeight="1" spans="1:7">
      <c r="A699" s="3" t="str">
        <f>"3098"</f>
        <v>3098</v>
      </c>
      <c r="B699" s="3" t="s">
        <v>80</v>
      </c>
      <c r="C699" s="3" t="str">
        <f>"新开铺街道"</f>
        <v>新开铺街道</v>
      </c>
      <c r="D699" s="3" t="str">
        <f>"桥头社区"</f>
        <v>桥头社区</v>
      </c>
      <c r="E699" s="3" t="str">
        <f t="shared" si="266"/>
        <v>140</v>
      </c>
      <c r="F699" s="3" t="str">
        <f t="shared" ref="F699:F720" si="286">"100"</f>
        <v>100</v>
      </c>
      <c r="G699" s="3" t="str">
        <f t="shared" ref="G699:G703" si="287">"二级"</f>
        <v>二级</v>
      </c>
    </row>
    <row r="700" customHeight="1" spans="1:7">
      <c r="A700" s="3" t="str">
        <f>"3099"</f>
        <v>3099</v>
      </c>
      <c r="B700" s="3" t="s">
        <v>125</v>
      </c>
      <c r="C700" s="3" t="str">
        <f>"赤岭路街道"</f>
        <v>赤岭路街道</v>
      </c>
      <c r="D700" s="3" t="str">
        <f>"芙蓉南路社区"</f>
        <v>芙蓉南路社区</v>
      </c>
      <c r="E700" s="3" t="str">
        <f t="shared" si="266"/>
        <v>140</v>
      </c>
      <c r="F700" s="3" t="str">
        <f t="shared" si="286"/>
        <v>100</v>
      </c>
      <c r="G700" s="3" t="str">
        <f t="shared" ref="G700:G704" si="288">"一级"</f>
        <v>一级</v>
      </c>
    </row>
    <row r="701" customHeight="1" spans="1:7">
      <c r="A701" s="3" t="str">
        <f>"3100"</f>
        <v>3100</v>
      </c>
      <c r="B701" s="3" t="s">
        <v>1006</v>
      </c>
      <c r="C701" s="3" t="str">
        <f>"青园街道"</f>
        <v>青园街道</v>
      </c>
      <c r="D701" s="3" t="str">
        <f>"湘园社区"</f>
        <v>湘园社区</v>
      </c>
      <c r="E701" s="3" t="str">
        <f t="shared" si="266"/>
        <v>140</v>
      </c>
      <c r="F701" s="3" t="str">
        <f t="shared" si="286"/>
        <v>100</v>
      </c>
      <c r="G701" s="3" t="str">
        <f t="shared" si="287"/>
        <v>二级</v>
      </c>
    </row>
    <row r="702" customHeight="1" spans="1:7">
      <c r="A702" s="3" t="str">
        <f>"3101"</f>
        <v>3101</v>
      </c>
      <c r="B702" s="3" t="s">
        <v>1414</v>
      </c>
      <c r="C702" s="3" t="str">
        <f>"新开铺街道"</f>
        <v>新开铺街道</v>
      </c>
      <c r="D702" s="3" t="str">
        <f>"桥头社区"</f>
        <v>桥头社区</v>
      </c>
      <c r="E702" s="3" t="str">
        <f t="shared" si="266"/>
        <v>140</v>
      </c>
      <c r="F702" s="3" t="str">
        <f t="shared" si="286"/>
        <v>100</v>
      </c>
      <c r="G702" s="3" t="str">
        <f t="shared" si="288"/>
        <v>一级</v>
      </c>
    </row>
    <row r="703" customHeight="1" spans="1:7">
      <c r="A703" s="3" t="str">
        <f>"3102"</f>
        <v>3102</v>
      </c>
      <c r="B703" s="3" t="s">
        <v>2071</v>
      </c>
      <c r="C703" s="3" t="str">
        <f>"城南路街道"</f>
        <v>城南路街道</v>
      </c>
      <c r="D703" s="3" t="str">
        <f>"工农桥社区"</f>
        <v>工农桥社区</v>
      </c>
      <c r="E703" s="3" t="str">
        <f t="shared" si="266"/>
        <v>140</v>
      </c>
      <c r="F703" s="3" t="str">
        <f t="shared" si="286"/>
        <v>100</v>
      </c>
      <c r="G703" s="3" t="str">
        <f t="shared" si="287"/>
        <v>二级</v>
      </c>
    </row>
    <row r="704" customHeight="1" spans="1:7">
      <c r="A704" s="3" t="str">
        <f>"3103"</f>
        <v>3103</v>
      </c>
      <c r="B704" s="3" t="s">
        <v>284</v>
      </c>
      <c r="C704" s="3" t="str">
        <f>"大托铺街道"</f>
        <v>大托铺街道</v>
      </c>
      <c r="D704" s="3" t="str">
        <f>"兴隆村委会"</f>
        <v>兴隆村委会</v>
      </c>
      <c r="E704" s="3" t="str">
        <f t="shared" si="266"/>
        <v>140</v>
      </c>
      <c r="F704" s="3" t="str">
        <f t="shared" si="286"/>
        <v>100</v>
      </c>
      <c r="G704" s="3" t="str">
        <f t="shared" si="288"/>
        <v>一级</v>
      </c>
    </row>
    <row r="705" customHeight="1" spans="1:7">
      <c r="A705" s="3" t="str">
        <f>"3104"</f>
        <v>3104</v>
      </c>
      <c r="B705" s="3" t="s">
        <v>2072</v>
      </c>
      <c r="C705" s="3" t="str">
        <f>"大托铺街道"</f>
        <v>大托铺街道</v>
      </c>
      <c r="D705" s="3" t="str">
        <f>"兴隆村委会"</f>
        <v>兴隆村委会</v>
      </c>
      <c r="E705" s="3" t="str">
        <f t="shared" si="266"/>
        <v>140</v>
      </c>
      <c r="F705" s="3" t="str">
        <f t="shared" si="286"/>
        <v>100</v>
      </c>
      <c r="G705" s="3" t="str">
        <f t="shared" ref="G705:G712" si="289">"二级"</f>
        <v>二级</v>
      </c>
    </row>
    <row r="706" customHeight="1" spans="1:7">
      <c r="A706" s="3" t="str">
        <f>"3105"</f>
        <v>3105</v>
      </c>
      <c r="B706" s="3" t="s">
        <v>1755</v>
      </c>
      <c r="C706" s="3" t="str">
        <f>"南托街道"</f>
        <v>南托街道</v>
      </c>
      <c r="D706" s="3" t="str">
        <f>"牛角塘村"</f>
        <v>牛角塘村</v>
      </c>
      <c r="E706" s="3" t="str">
        <f t="shared" ref="E706:E769" si="290">"140"</f>
        <v>140</v>
      </c>
      <c r="F706" s="3" t="str">
        <f t="shared" si="286"/>
        <v>100</v>
      </c>
      <c r="G706" s="3" t="str">
        <f t="shared" si="289"/>
        <v>二级</v>
      </c>
    </row>
    <row r="707" customHeight="1" spans="1:7">
      <c r="A707" s="3" t="str">
        <f>"3106"</f>
        <v>3106</v>
      </c>
      <c r="B707" s="3" t="s">
        <v>1161</v>
      </c>
      <c r="C707" s="3" t="str">
        <f>"黑石铺街道"</f>
        <v>黑石铺街道</v>
      </c>
      <c r="D707" s="3" t="str">
        <f>"一力社区"</f>
        <v>一力社区</v>
      </c>
      <c r="E707" s="3" t="str">
        <f t="shared" si="290"/>
        <v>140</v>
      </c>
      <c r="F707" s="3" t="str">
        <f t="shared" si="286"/>
        <v>100</v>
      </c>
      <c r="G707" s="3" t="str">
        <f>"一级"</f>
        <v>一级</v>
      </c>
    </row>
    <row r="708" customHeight="1" spans="1:7">
      <c r="A708" s="3" t="str">
        <f>"3107"</f>
        <v>3107</v>
      </c>
      <c r="B708" s="3" t="s">
        <v>2073</v>
      </c>
      <c r="C708" s="3" t="str">
        <f>"南托街道"</f>
        <v>南托街道</v>
      </c>
      <c r="D708" s="3" t="str">
        <f>"南鑫社区"</f>
        <v>南鑫社区</v>
      </c>
      <c r="E708" s="3" t="str">
        <f t="shared" si="290"/>
        <v>140</v>
      </c>
      <c r="F708" s="3" t="str">
        <f t="shared" si="286"/>
        <v>100</v>
      </c>
      <c r="G708" s="3" t="str">
        <f t="shared" si="289"/>
        <v>二级</v>
      </c>
    </row>
    <row r="709" customHeight="1" spans="1:7">
      <c r="A709" s="3" t="str">
        <f>"3108"</f>
        <v>3108</v>
      </c>
      <c r="B709" s="3" t="s">
        <v>2074</v>
      </c>
      <c r="C709" s="3" t="str">
        <f>"金盆岭街道"</f>
        <v>金盆岭街道</v>
      </c>
      <c r="D709" s="3" t="str">
        <f>"赤岭路社区"</f>
        <v>赤岭路社区</v>
      </c>
      <c r="E709" s="3" t="str">
        <f t="shared" si="290"/>
        <v>140</v>
      </c>
      <c r="F709" s="3" t="str">
        <f t="shared" si="286"/>
        <v>100</v>
      </c>
      <c r="G709" s="3" t="str">
        <f t="shared" si="289"/>
        <v>二级</v>
      </c>
    </row>
    <row r="710" customHeight="1" spans="1:7">
      <c r="A710" s="3" t="str">
        <f>"3109"</f>
        <v>3109</v>
      </c>
      <c r="B710" s="3" t="s">
        <v>2075</v>
      </c>
      <c r="C710" s="3" t="str">
        <f>"赤岭路街道"</f>
        <v>赤岭路街道</v>
      </c>
      <c r="D710" s="3" t="str">
        <f>"新丰社区"</f>
        <v>新丰社区</v>
      </c>
      <c r="E710" s="3" t="str">
        <f t="shared" si="290"/>
        <v>140</v>
      </c>
      <c r="F710" s="3" t="str">
        <f t="shared" si="286"/>
        <v>100</v>
      </c>
      <c r="G710" s="3" t="str">
        <f t="shared" si="289"/>
        <v>二级</v>
      </c>
    </row>
    <row r="711" customHeight="1" spans="1:7">
      <c r="A711" s="3" t="str">
        <f>"3110"</f>
        <v>3110</v>
      </c>
      <c r="B711" s="3" t="s">
        <v>2076</v>
      </c>
      <c r="C711" s="3" t="str">
        <f>"赤岭路街道"</f>
        <v>赤岭路街道</v>
      </c>
      <c r="D711" s="3" t="str">
        <f>"南大桥社区"</f>
        <v>南大桥社区</v>
      </c>
      <c r="E711" s="3" t="str">
        <f t="shared" si="290"/>
        <v>140</v>
      </c>
      <c r="F711" s="3" t="str">
        <f t="shared" si="286"/>
        <v>100</v>
      </c>
      <c r="G711" s="3" t="str">
        <f t="shared" si="289"/>
        <v>二级</v>
      </c>
    </row>
    <row r="712" customHeight="1" spans="1:7">
      <c r="A712" s="3" t="str">
        <f>"3111"</f>
        <v>3111</v>
      </c>
      <c r="B712" s="3" t="s">
        <v>160</v>
      </c>
      <c r="C712" s="3" t="str">
        <f t="shared" ref="C712:C714" si="291">"裕南街街道"</f>
        <v>裕南街街道</v>
      </c>
      <c r="D712" s="3" t="str">
        <f>"碧沙湖社区"</f>
        <v>碧沙湖社区</v>
      </c>
      <c r="E712" s="3" t="str">
        <f t="shared" si="290"/>
        <v>140</v>
      </c>
      <c r="F712" s="3" t="str">
        <f t="shared" si="286"/>
        <v>100</v>
      </c>
      <c r="G712" s="3" t="str">
        <f t="shared" si="289"/>
        <v>二级</v>
      </c>
    </row>
    <row r="713" customHeight="1" spans="1:7">
      <c r="A713" s="3" t="str">
        <f>"3112"</f>
        <v>3112</v>
      </c>
      <c r="B713" s="3" t="s">
        <v>2077</v>
      </c>
      <c r="C713" s="3" t="str">
        <f t="shared" si="291"/>
        <v>裕南街街道</v>
      </c>
      <c r="D713" s="3" t="str">
        <f>"火把山社区"</f>
        <v>火把山社区</v>
      </c>
      <c r="E713" s="3" t="str">
        <f t="shared" si="290"/>
        <v>140</v>
      </c>
      <c r="F713" s="3" t="str">
        <f t="shared" si="286"/>
        <v>100</v>
      </c>
      <c r="G713" s="3" t="str">
        <f t="shared" ref="G713:G717" si="292">"一级"</f>
        <v>一级</v>
      </c>
    </row>
    <row r="714" customHeight="1" spans="1:7">
      <c r="A714" s="3" t="str">
        <f>"3113"</f>
        <v>3113</v>
      </c>
      <c r="B714" s="3" t="s">
        <v>2078</v>
      </c>
      <c r="C714" s="3" t="str">
        <f t="shared" si="291"/>
        <v>裕南街街道</v>
      </c>
      <c r="D714" s="3" t="str">
        <f>"火把山社区"</f>
        <v>火把山社区</v>
      </c>
      <c r="E714" s="3" t="str">
        <f t="shared" si="290"/>
        <v>140</v>
      </c>
      <c r="F714" s="3" t="str">
        <f t="shared" si="286"/>
        <v>100</v>
      </c>
      <c r="G714" s="3" t="str">
        <f t="shared" ref="G714:G718" si="293">"二级"</f>
        <v>二级</v>
      </c>
    </row>
    <row r="715" customHeight="1" spans="1:7">
      <c r="A715" s="3" t="str">
        <f>"3114"</f>
        <v>3114</v>
      </c>
      <c r="B715" s="3" t="s">
        <v>1763</v>
      </c>
      <c r="C715" s="3" t="str">
        <f t="shared" ref="C715:C720" si="294">"大托铺街道"</f>
        <v>大托铺街道</v>
      </c>
      <c r="D715" s="3" t="str">
        <f>"兴隆村委会"</f>
        <v>兴隆村委会</v>
      </c>
      <c r="E715" s="3" t="str">
        <f t="shared" si="290"/>
        <v>140</v>
      </c>
      <c r="F715" s="3" t="str">
        <f t="shared" si="286"/>
        <v>100</v>
      </c>
      <c r="G715" s="3" t="str">
        <f t="shared" si="293"/>
        <v>二级</v>
      </c>
    </row>
    <row r="716" customHeight="1" spans="1:7">
      <c r="A716" s="3" t="str">
        <f>"3115"</f>
        <v>3115</v>
      </c>
      <c r="B716" s="3" t="s">
        <v>2079</v>
      </c>
      <c r="C716" s="3" t="str">
        <f t="shared" si="294"/>
        <v>大托铺街道</v>
      </c>
      <c r="D716" s="3" t="str">
        <f>"兴隆村委会"</f>
        <v>兴隆村委会</v>
      </c>
      <c r="E716" s="3" t="str">
        <f t="shared" si="290"/>
        <v>140</v>
      </c>
      <c r="F716" s="3" t="str">
        <f t="shared" si="286"/>
        <v>100</v>
      </c>
      <c r="G716" s="3" t="str">
        <f t="shared" si="292"/>
        <v>一级</v>
      </c>
    </row>
    <row r="717" customHeight="1" spans="1:7">
      <c r="A717" s="3" t="str">
        <f>"3116"</f>
        <v>3116</v>
      </c>
      <c r="B717" s="3" t="s">
        <v>2080</v>
      </c>
      <c r="C717" s="3" t="str">
        <f>"赤岭路街道"</f>
        <v>赤岭路街道</v>
      </c>
      <c r="D717" s="3" t="str">
        <f>"书院路社区"</f>
        <v>书院路社区</v>
      </c>
      <c r="E717" s="3" t="str">
        <f t="shared" si="290"/>
        <v>140</v>
      </c>
      <c r="F717" s="3" t="str">
        <f t="shared" si="286"/>
        <v>100</v>
      </c>
      <c r="G717" s="3" t="str">
        <f t="shared" si="292"/>
        <v>一级</v>
      </c>
    </row>
    <row r="718" customHeight="1" spans="1:7">
      <c r="A718" s="3" t="str">
        <f>"3117"</f>
        <v>3117</v>
      </c>
      <c r="B718" s="3" t="s">
        <v>2081</v>
      </c>
      <c r="C718" s="3" t="str">
        <f>"暮云街道"</f>
        <v>暮云街道</v>
      </c>
      <c r="D718" s="3" t="str">
        <f>"云塘社区"</f>
        <v>云塘社区</v>
      </c>
      <c r="E718" s="3" t="str">
        <f t="shared" si="290"/>
        <v>140</v>
      </c>
      <c r="F718" s="3" t="str">
        <f t="shared" si="286"/>
        <v>100</v>
      </c>
      <c r="G718" s="3" t="str">
        <f t="shared" si="293"/>
        <v>二级</v>
      </c>
    </row>
    <row r="719" customHeight="1" spans="1:7">
      <c r="A719" s="3" t="str">
        <f>"3118"</f>
        <v>3118</v>
      </c>
      <c r="B719" s="3" t="s">
        <v>2082</v>
      </c>
      <c r="C719" s="3" t="str">
        <f t="shared" si="294"/>
        <v>大托铺街道</v>
      </c>
      <c r="D719" s="3" t="str">
        <f>"新港村委会"</f>
        <v>新港村委会</v>
      </c>
      <c r="E719" s="3" t="str">
        <f t="shared" si="290"/>
        <v>140</v>
      </c>
      <c r="F719" s="3" t="str">
        <f t="shared" si="286"/>
        <v>100</v>
      </c>
      <c r="G719" s="3" t="str">
        <f t="shared" ref="G719:G723" si="295">"一级"</f>
        <v>一级</v>
      </c>
    </row>
    <row r="720" customHeight="1" spans="1:7">
      <c r="A720" s="3" t="str">
        <f>"3119"</f>
        <v>3119</v>
      </c>
      <c r="B720" s="3" t="s">
        <v>684</v>
      </c>
      <c r="C720" s="3" t="str">
        <f t="shared" si="294"/>
        <v>大托铺街道</v>
      </c>
      <c r="D720" s="3" t="str">
        <f>"新港村委会"</f>
        <v>新港村委会</v>
      </c>
      <c r="E720" s="3" t="str">
        <f t="shared" si="290"/>
        <v>140</v>
      </c>
      <c r="F720" s="3" t="str">
        <f t="shared" si="286"/>
        <v>100</v>
      </c>
      <c r="G720" s="3" t="str">
        <f t="shared" ref="G720:G728" si="296">"二级"</f>
        <v>二级</v>
      </c>
    </row>
    <row r="721" customHeight="1" spans="1:7">
      <c r="A721" s="3" t="str">
        <f>"3120"</f>
        <v>3120</v>
      </c>
      <c r="B721" s="3" t="s">
        <v>2083</v>
      </c>
      <c r="C721" s="3" t="str">
        <f>"黑石铺街道"</f>
        <v>黑石铺街道</v>
      </c>
      <c r="D721" s="3" t="str">
        <f>"铭安社区"</f>
        <v>铭安社区</v>
      </c>
      <c r="E721" s="3" t="str">
        <f t="shared" si="290"/>
        <v>140</v>
      </c>
      <c r="F721" s="3" t="str">
        <f>"0"</f>
        <v>0</v>
      </c>
      <c r="G721" s="3" t="str">
        <f>"四级"</f>
        <v>四级</v>
      </c>
    </row>
    <row r="722" customHeight="1" spans="1:7">
      <c r="A722" s="3" t="str">
        <f>"3121"</f>
        <v>3121</v>
      </c>
      <c r="B722" s="3" t="s">
        <v>2084</v>
      </c>
      <c r="C722" s="3" t="str">
        <f>"先锋街道"</f>
        <v>先锋街道</v>
      </c>
      <c r="D722" s="3" t="str">
        <f>"新宇社区"</f>
        <v>新宇社区</v>
      </c>
      <c r="E722" s="3" t="str">
        <f t="shared" si="290"/>
        <v>140</v>
      </c>
      <c r="F722" s="3" t="str">
        <f t="shared" ref="F722:F743" si="297">"100"</f>
        <v>100</v>
      </c>
      <c r="G722" s="3" t="str">
        <f t="shared" si="295"/>
        <v>一级</v>
      </c>
    </row>
    <row r="723" customHeight="1" spans="1:7">
      <c r="A723" s="3" t="str">
        <f>"3122"</f>
        <v>3122</v>
      </c>
      <c r="B723" s="3" t="s">
        <v>2085</v>
      </c>
      <c r="C723" s="3" t="str">
        <f>"先锋街道"</f>
        <v>先锋街道</v>
      </c>
      <c r="D723" s="3" t="str">
        <f>"嘉和社区"</f>
        <v>嘉和社区</v>
      </c>
      <c r="E723" s="3" t="str">
        <f t="shared" si="290"/>
        <v>140</v>
      </c>
      <c r="F723" s="3" t="str">
        <f t="shared" si="297"/>
        <v>100</v>
      </c>
      <c r="G723" s="3" t="str">
        <f t="shared" si="295"/>
        <v>一级</v>
      </c>
    </row>
    <row r="724" customHeight="1" spans="1:7">
      <c r="A724" s="3" t="str">
        <f>"3123"</f>
        <v>3123</v>
      </c>
      <c r="B724" s="3" t="s">
        <v>125</v>
      </c>
      <c r="C724" s="3" t="str">
        <f t="shared" ref="C724:C729" si="298">"暮云街道"</f>
        <v>暮云街道</v>
      </c>
      <c r="D724" s="3" t="str">
        <f>"暮云社区"</f>
        <v>暮云社区</v>
      </c>
      <c r="E724" s="3" t="str">
        <f t="shared" si="290"/>
        <v>140</v>
      </c>
      <c r="F724" s="3" t="str">
        <f t="shared" si="297"/>
        <v>100</v>
      </c>
      <c r="G724" s="3" t="str">
        <f t="shared" si="296"/>
        <v>二级</v>
      </c>
    </row>
    <row r="725" customHeight="1" spans="1:7">
      <c r="A725" s="3" t="str">
        <f>"3124"</f>
        <v>3124</v>
      </c>
      <c r="B725" s="3" t="s">
        <v>2086</v>
      </c>
      <c r="C725" s="3" t="str">
        <f>"坡子街街道"</f>
        <v>坡子街街道</v>
      </c>
      <c r="D725" s="3" t="str">
        <f>"文庙坪社区"</f>
        <v>文庙坪社区</v>
      </c>
      <c r="E725" s="3" t="str">
        <f t="shared" si="290"/>
        <v>140</v>
      </c>
      <c r="F725" s="3" t="str">
        <f t="shared" si="297"/>
        <v>100</v>
      </c>
      <c r="G725" s="3" t="str">
        <f t="shared" si="296"/>
        <v>二级</v>
      </c>
    </row>
    <row r="726" customHeight="1" spans="1:7">
      <c r="A726" s="3" t="str">
        <f>"3125"</f>
        <v>3125</v>
      </c>
      <c r="B726" s="3" t="s">
        <v>2087</v>
      </c>
      <c r="C726" s="3" t="str">
        <f>"青园街道"</f>
        <v>青园街道</v>
      </c>
      <c r="D726" s="3" t="str">
        <f>"青园社区"</f>
        <v>青园社区</v>
      </c>
      <c r="E726" s="3" t="str">
        <f t="shared" si="290"/>
        <v>140</v>
      </c>
      <c r="F726" s="3" t="str">
        <f t="shared" si="297"/>
        <v>100</v>
      </c>
      <c r="G726" s="3" t="str">
        <f t="shared" si="296"/>
        <v>二级</v>
      </c>
    </row>
    <row r="727" customHeight="1" spans="1:7">
      <c r="A727" s="3" t="str">
        <f>"3126"</f>
        <v>3126</v>
      </c>
      <c r="B727" s="3" t="s">
        <v>2088</v>
      </c>
      <c r="C727" s="3" t="str">
        <f t="shared" si="298"/>
        <v>暮云街道</v>
      </c>
      <c r="D727" s="3" t="str">
        <f t="shared" ref="D727:D736" si="299">"弘高社区"</f>
        <v>弘高社区</v>
      </c>
      <c r="E727" s="3" t="str">
        <f t="shared" si="290"/>
        <v>140</v>
      </c>
      <c r="F727" s="3" t="str">
        <f t="shared" si="297"/>
        <v>100</v>
      </c>
      <c r="G727" s="3" t="str">
        <f t="shared" si="296"/>
        <v>二级</v>
      </c>
    </row>
    <row r="728" customHeight="1" spans="1:7">
      <c r="A728" s="3" t="str">
        <f>"3127"</f>
        <v>3127</v>
      </c>
      <c r="B728" s="3" t="s">
        <v>2089</v>
      </c>
      <c r="C728" s="3" t="str">
        <f>"青园街道"</f>
        <v>青园街道</v>
      </c>
      <c r="D728" s="3" t="str">
        <f>"青园社区"</f>
        <v>青园社区</v>
      </c>
      <c r="E728" s="3" t="str">
        <f t="shared" si="290"/>
        <v>140</v>
      </c>
      <c r="F728" s="3" t="str">
        <f t="shared" si="297"/>
        <v>100</v>
      </c>
      <c r="G728" s="3" t="str">
        <f t="shared" si="296"/>
        <v>二级</v>
      </c>
    </row>
    <row r="729" customHeight="1" spans="1:7">
      <c r="A729" s="3" t="str">
        <f>"3128"</f>
        <v>3128</v>
      </c>
      <c r="B729" s="3" t="s">
        <v>2090</v>
      </c>
      <c r="C729" s="3" t="str">
        <f t="shared" si="298"/>
        <v>暮云街道</v>
      </c>
      <c r="D729" s="3" t="str">
        <f t="shared" si="299"/>
        <v>弘高社区</v>
      </c>
      <c r="E729" s="3" t="str">
        <f t="shared" si="290"/>
        <v>140</v>
      </c>
      <c r="F729" s="3" t="str">
        <f t="shared" si="297"/>
        <v>100</v>
      </c>
      <c r="G729" s="3" t="str">
        <f t="shared" ref="G729:G733" si="300">"一级"</f>
        <v>一级</v>
      </c>
    </row>
    <row r="730" customHeight="1" spans="1:7">
      <c r="A730" s="3" t="str">
        <f>"3129"</f>
        <v>3129</v>
      </c>
      <c r="B730" s="3" t="s">
        <v>2091</v>
      </c>
      <c r="C730" s="3" t="str">
        <f>"黑石铺街道"</f>
        <v>黑石铺街道</v>
      </c>
      <c r="D730" s="3" t="str">
        <f>"一力社区"</f>
        <v>一力社区</v>
      </c>
      <c r="E730" s="3" t="str">
        <f t="shared" si="290"/>
        <v>140</v>
      </c>
      <c r="F730" s="3" t="str">
        <f t="shared" si="297"/>
        <v>100</v>
      </c>
      <c r="G730" s="3" t="str">
        <f t="shared" ref="G730:G735" si="301">"二级"</f>
        <v>二级</v>
      </c>
    </row>
    <row r="731" customHeight="1" spans="1:7">
      <c r="A731" s="3" t="str">
        <f>"3130"</f>
        <v>3130</v>
      </c>
      <c r="B731" s="3" t="s">
        <v>500</v>
      </c>
      <c r="C731" s="3" t="str">
        <f t="shared" ref="C731:C736" si="302">"暮云街道"</f>
        <v>暮云街道</v>
      </c>
      <c r="D731" s="3" t="str">
        <f t="shared" si="299"/>
        <v>弘高社区</v>
      </c>
      <c r="E731" s="3" t="str">
        <f t="shared" si="290"/>
        <v>140</v>
      </c>
      <c r="F731" s="3" t="str">
        <f t="shared" si="297"/>
        <v>100</v>
      </c>
      <c r="G731" s="3" t="str">
        <f t="shared" si="300"/>
        <v>一级</v>
      </c>
    </row>
    <row r="732" customHeight="1" spans="1:7">
      <c r="A732" s="3" t="str">
        <f>"3131"</f>
        <v>3131</v>
      </c>
      <c r="B732" s="3" t="s">
        <v>2092</v>
      </c>
      <c r="C732" s="3" t="str">
        <f t="shared" si="302"/>
        <v>暮云街道</v>
      </c>
      <c r="D732" s="3" t="str">
        <f t="shared" si="299"/>
        <v>弘高社区</v>
      </c>
      <c r="E732" s="3" t="str">
        <f t="shared" si="290"/>
        <v>140</v>
      </c>
      <c r="F732" s="3" t="str">
        <f t="shared" si="297"/>
        <v>100</v>
      </c>
      <c r="G732" s="3" t="str">
        <f t="shared" si="301"/>
        <v>二级</v>
      </c>
    </row>
    <row r="733" customHeight="1" spans="1:7">
      <c r="A733" s="3" t="str">
        <f>"3132"</f>
        <v>3132</v>
      </c>
      <c r="B733" s="3" t="s">
        <v>1287</v>
      </c>
      <c r="C733" s="3" t="str">
        <f t="shared" si="302"/>
        <v>暮云街道</v>
      </c>
      <c r="D733" s="3" t="str">
        <f t="shared" si="299"/>
        <v>弘高社区</v>
      </c>
      <c r="E733" s="3" t="str">
        <f t="shared" si="290"/>
        <v>140</v>
      </c>
      <c r="F733" s="3" t="str">
        <f t="shared" si="297"/>
        <v>100</v>
      </c>
      <c r="G733" s="3" t="str">
        <f t="shared" si="300"/>
        <v>一级</v>
      </c>
    </row>
    <row r="734" customHeight="1" spans="1:7">
      <c r="A734" s="3" t="str">
        <f>"3133"</f>
        <v>3133</v>
      </c>
      <c r="B734" s="3" t="s">
        <v>2047</v>
      </c>
      <c r="C734" s="3" t="str">
        <f t="shared" si="302"/>
        <v>暮云街道</v>
      </c>
      <c r="D734" s="3" t="str">
        <f t="shared" si="299"/>
        <v>弘高社区</v>
      </c>
      <c r="E734" s="3" t="str">
        <f t="shared" si="290"/>
        <v>140</v>
      </c>
      <c r="F734" s="3" t="str">
        <f t="shared" si="297"/>
        <v>100</v>
      </c>
      <c r="G734" s="3" t="str">
        <f t="shared" si="301"/>
        <v>二级</v>
      </c>
    </row>
    <row r="735" customHeight="1" spans="1:7">
      <c r="A735" s="3" t="str">
        <f>"3134"</f>
        <v>3134</v>
      </c>
      <c r="B735" s="3" t="s">
        <v>2093</v>
      </c>
      <c r="C735" s="3" t="str">
        <f t="shared" si="302"/>
        <v>暮云街道</v>
      </c>
      <c r="D735" s="3" t="str">
        <f t="shared" si="299"/>
        <v>弘高社区</v>
      </c>
      <c r="E735" s="3" t="str">
        <f t="shared" si="290"/>
        <v>140</v>
      </c>
      <c r="F735" s="3" t="str">
        <f t="shared" si="297"/>
        <v>100</v>
      </c>
      <c r="G735" s="3" t="str">
        <f t="shared" si="301"/>
        <v>二级</v>
      </c>
    </row>
    <row r="736" customHeight="1" spans="1:7">
      <c r="A736" s="3" t="str">
        <f>"3135"</f>
        <v>3135</v>
      </c>
      <c r="B736" s="3" t="s">
        <v>267</v>
      </c>
      <c r="C736" s="3" t="str">
        <f t="shared" si="302"/>
        <v>暮云街道</v>
      </c>
      <c r="D736" s="3" t="str">
        <f t="shared" si="299"/>
        <v>弘高社区</v>
      </c>
      <c r="E736" s="3" t="str">
        <f t="shared" si="290"/>
        <v>140</v>
      </c>
      <c r="F736" s="3" t="str">
        <f t="shared" si="297"/>
        <v>100</v>
      </c>
      <c r="G736" s="3" t="str">
        <f t="shared" ref="G736:G741" si="303">"一级"</f>
        <v>一级</v>
      </c>
    </row>
    <row r="737" customHeight="1" spans="1:7">
      <c r="A737" s="3" t="str">
        <f>"3136"</f>
        <v>3136</v>
      </c>
      <c r="B737" s="3" t="s">
        <v>2094</v>
      </c>
      <c r="C737" s="3" t="str">
        <f t="shared" ref="C737:C739" si="304">"新开铺街道"</f>
        <v>新开铺街道</v>
      </c>
      <c r="D737" s="3" t="str">
        <f>"新天社区"</f>
        <v>新天社区</v>
      </c>
      <c r="E737" s="3" t="str">
        <f t="shared" si="290"/>
        <v>140</v>
      </c>
      <c r="F737" s="3" t="str">
        <f t="shared" si="297"/>
        <v>100</v>
      </c>
      <c r="G737" s="3" t="str">
        <f t="shared" ref="G737:G742" si="305">"二级"</f>
        <v>二级</v>
      </c>
    </row>
    <row r="738" customHeight="1" spans="1:7">
      <c r="A738" s="3" t="str">
        <f>"3137"</f>
        <v>3137</v>
      </c>
      <c r="B738" s="3" t="s">
        <v>2095</v>
      </c>
      <c r="C738" s="3" t="str">
        <f t="shared" si="304"/>
        <v>新开铺街道</v>
      </c>
      <c r="D738" s="3" t="str">
        <f>"新天社区"</f>
        <v>新天社区</v>
      </c>
      <c r="E738" s="3" t="str">
        <f t="shared" si="290"/>
        <v>140</v>
      </c>
      <c r="F738" s="3" t="str">
        <f t="shared" si="297"/>
        <v>100</v>
      </c>
      <c r="G738" s="3" t="str">
        <f t="shared" si="303"/>
        <v>一级</v>
      </c>
    </row>
    <row r="739" customHeight="1" spans="1:7">
      <c r="A739" s="3" t="str">
        <f>"3138"</f>
        <v>3138</v>
      </c>
      <c r="B739" s="3" t="s">
        <v>2096</v>
      </c>
      <c r="C739" s="3" t="str">
        <f t="shared" si="304"/>
        <v>新开铺街道</v>
      </c>
      <c r="D739" s="3" t="str">
        <f>"桥头社区"</f>
        <v>桥头社区</v>
      </c>
      <c r="E739" s="3" t="str">
        <f t="shared" si="290"/>
        <v>140</v>
      </c>
      <c r="F739" s="3" t="str">
        <f t="shared" si="297"/>
        <v>100</v>
      </c>
      <c r="G739" s="3" t="str">
        <f t="shared" si="305"/>
        <v>二级</v>
      </c>
    </row>
    <row r="740" customHeight="1" spans="1:7">
      <c r="A740" s="3" t="str">
        <f>"3139"</f>
        <v>3139</v>
      </c>
      <c r="B740" s="3" t="s">
        <v>2097</v>
      </c>
      <c r="C740" s="3" t="str">
        <f>"赤岭路街道"</f>
        <v>赤岭路街道</v>
      </c>
      <c r="D740" s="3" t="str">
        <f>"书院路社区"</f>
        <v>书院路社区</v>
      </c>
      <c r="E740" s="3" t="str">
        <f t="shared" si="290"/>
        <v>140</v>
      </c>
      <c r="F740" s="3" t="str">
        <f t="shared" si="297"/>
        <v>100</v>
      </c>
      <c r="G740" s="3" t="str">
        <f t="shared" si="303"/>
        <v>一级</v>
      </c>
    </row>
    <row r="741" customHeight="1" spans="1:7">
      <c r="A741" s="3" t="str">
        <f>"3140"</f>
        <v>3140</v>
      </c>
      <c r="B741" s="3" t="s">
        <v>2098</v>
      </c>
      <c r="C741" s="3" t="str">
        <f>"金盆岭街道"</f>
        <v>金盆岭街道</v>
      </c>
      <c r="D741" s="3" t="str">
        <f>"夏家冲社区"</f>
        <v>夏家冲社区</v>
      </c>
      <c r="E741" s="3" t="str">
        <f t="shared" si="290"/>
        <v>140</v>
      </c>
      <c r="F741" s="3" t="str">
        <f t="shared" si="297"/>
        <v>100</v>
      </c>
      <c r="G741" s="3" t="str">
        <f t="shared" si="303"/>
        <v>一级</v>
      </c>
    </row>
    <row r="742" customHeight="1" spans="1:7">
      <c r="A742" s="3" t="str">
        <f>"3141"</f>
        <v>3141</v>
      </c>
      <c r="B742" s="3" t="s">
        <v>68</v>
      </c>
      <c r="C742" s="3" t="str">
        <f t="shared" ref="C742:C746" si="306">"坡子街街道"</f>
        <v>坡子街街道</v>
      </c>
      <c r="D742" s="3" t="str">
        <f>"文庙坪社区"</f>
        <v>文庙坪社区</v>
      </c>
      <c r="E742" s="3" t="str">
        <f t="shared" si="290"/>
        <v>140</v>
      </c>
      <c r="F742" s="3" t="str">
        <f t="shared" si="297"/>
        <v>100</v>
      </c>
      <c r="G742" s="3" t="str">
        <f t="shared" si="305"/>
        <v>二级</v>
      </c>
    </row>
    <row r="743" customHeight="1" spans="1:7">
      <c r="A743" s="3" t="str">
        <f>"3142"</f>
        <v>3142</v>
      </c>
      <c r="B743" s="3" t="s">
        <v>2099</v>
      </c>
      <c r="C743" s="3" t="str">
        <f>"南托街道"</f>
        <v>南托街道</v>
      </c>
      <c r="D743" s="3" t="str">
        <f>"牛角塘村"</f>
        <v>牛角塘村</v>
      </c>
      <c r="E743" s="3" t="str">
        <f t="shared" si="290"/>
        <v>140</v>
      </c>
      <c r="F743" s="3" t="str">
        <f t="shared" si="297"/>
        <v>100</v>
      </c>
      <c r="G743" s="3" t="str">
        <f>"一级"</f>
        <v>一级</v>
      </c>
    </row>
    <row r="744" customHeight="1" spans="1:7">
      <c r="A744" s="3" t="str">
        <f>"3143"</f>
        <v>3143</v>
      </c>
      <c r="B744" s="3" t="s">
        <v>2100</v>
      </c>
      <c r="C744" s="3" t="str">
        <f t="shared" si="306"/>
        <v>坡子街街道</v>
      </c>
      <c r="D744" s="3" t="str">
        <f>"碧湘社区"</f>
        <v>碧湘社区</v>
      </c>
      <c r="E744" s="3" t="str">
        <f t="shared" si="290"/>
        <v>140</v>
      </c>
      <c r="F744" s="3" t="str">
        <f>"0"</f>
        <v>0</v>
      </c>
      <c r="G744" s="3" t="str">
        <f>"三级"</f>
        <v>三级</v>
      </c>
    </row>
    <row r="745" customHeight="1" spans="1:7">
      <c r="A745" s="3" t="str">
        <f>"3144"</f>
        <v>3144</v>
      </c>
      <c r="B745" s="3" t="s">
        <v>897</v>
      </c>
      <c r="C745" s="3" t="str">
        <f>"新开铺街道"</f>
        <v>新开铺街道</v>
      </c>
      <c r="D745" s="3" t="str">
        <f>"新开铺社区"</f>
        <v>新开铺社区</v>
      </c>
      <c r="E745" s="3" t="str">
        <f t="shared" si="290"/>
        <v>140</v>
      </c>
      <c r="F745" s="3" t="str">
        <f t="shared" ref="F745:F753" si="307">"100"</f>
        <v>100</v>
      </c>
      <c r="G745" s="3" t="str">
        <f>"一级"</f>
        <v>一级</v>
      </c>
    </row>
    <row r="746" customHeight="1" spans="1:7">
      <c r="A746" s="3" t="str">
        <f>"3145"</f>
        <v>3145</v>
      </c>
      <c r="B746" s="3" t="s">
        <v>2101</v>
      </c>
      <c r="C746" s="3" t="str">
        <f t="shared" si="306"/>
        <v>坡子街街道</v>
      </c>
      <c r="D746" s="3" t="str">
        <f>"登仁桥社区"</f>
        <v>登仁桥社区</v>
      </c>
      <c r="E746" s="3" t="str">
        <f t="shared" si="290"/>
        <v>140</v>
      </c>
      <c r="F746" s="3" t="str">
        <f t="shared" si="307"/>
        <v>100</v>
      </c>
      <c r="G746" s="3" t="str">
        <f t="shared" ref="G746:G750" si="308">"二级"</f>
        <v>二级</v>
      </c>
    </row>
    <row r="747" customHeight="1" spans="1:7">
      <c r="A747" s="3" t="str">
        <f>"3146"</f>
        <v>3146</v>
      </c>
      <c r="B747" s="3" t="s">
        <v>603</v>
      </c>
      <c r="C747" s="3" t="str">
        <f>"裕南街街道"</f>
        <v>裕南街街道</v>
      </c>
      <c r="D747" s="3" t="str">
        <f>"石子冲社区"</f>
        <v>石子冲社区</v>
      </c>
      <c r="E747" s="3" t="str">
        <f t="shared" si="290"/>
        <v>140</v>
      </c>
      <c r="F747" s="3" t="str">
        <f>"0"</f>
        <v>0</v>
      </c>
      <c r="G747" s="3" t="str">
        <f>"四级"</f>
        <v>四级</v>
      </c>
    </row>
    <row r="748" customHeight="1" spans="1:7">
      <c r="A748" s="3" t="str">
        <f>"3147"</f>
        <v>3147</v>
      </c>
      <c r="B748" s="3" t="s">
        <v>2102</v>
      </c>
      <c r="C748" s="3" t="str">
        <f>"赤岭路街道"</f>
        <v>赤岭路街道</v>
      </c>
      <c r="D748" s="3" t="str">
        <f>"新丰社区"</f>
        <v>新丰社区</v>
      </c>
      <c r="E748" s="3" t="str">
        <f t="shared" si="290"/>
        <v>140</v>
      </c>
      <c r="F748" s="3" t="str">
        <f t="shared" si="307"/>
        <v>100</v>
      </c>
      <c r="G748" s="3" t="str">
        <f t="shared" si="308"/>
        <v>二级</v>
      </c>
    </row>
    <row r="749" customHeight="1" spans="1:7">
      <c r="A749" s="3" t="str">
        <f>"3148"</f>
        <v>3148</v>
      </c>
      <c r="B749" s="3" t="s">
        <v>80</v>
      </c>
      <c r="C749" s="3" t="str">
        <f>"南托街道"</f>
        <v>南托街道</v>
      </c>
      <c r="D749" s="3" t="str">
        <f>"融城社区"</f>
        <v>融城社区</v>
      </c>
      <c r="E749" s="3" t="str">
        <f t="shared" si="290"/>
        <v>140</v>
      </c>
      <c r="F749" s="3" t="str">
        <f t="shared" si="307"/>
        <v>100</v>
      </c>
      <c r="G749" s="3" t="str">
        <f t="shared" si="308"/>
        <v>二级</v>
      </c>
    </row>
    <row r="750" customHeight="1" spans="1:7">
      <c r="A750" s="3" t="str">
        <f>"3149"</f>
        <v>3149</v>
      </c>
      <c r="B750" s="3" t="s">
        <v>2103</v>
      </c>
      <c r="C750" s="3" t="str">
        <f>"南托街道"</f>
        <v>南托街道</v>
      </c>
      <c r="D750" s="3" t="str">
        <f>"融城社区"</f>
        <v>融城社区</v>
      </c>
      <c r="E750" s="3" t="str">
        <f t="shared" si="290"/>
        <v>140</v>
      </c>
      <c r="F750" s="3" t="str">
        <f t="shared" si="307"/>
        <v>100</v>
      </c>
      <c r="G750" s="3" t="str">
        <f t="shared" si="308"/>
        <v>二级</v>
      </c>
    </row>
    <row r="751" customHeight="1" spans="1:7">
      <c r="A751" s="3" t="str">
        <f>"3150"</f>
        <v>3150</v>
      </c>
      <c r="B751" s="3" t="s">
        <v>2104</v>
      </c>
      <c r="C751" s="3" t="str">
        <f>"文源街道"</f>
        <v>文源街道</v>
      </c>
      <c r="D751" s="3" t="str">
        <f>"梅岭社区"</f>
        <v>梅岭社区</v>
      </c>
      <c r="E751" s="3" t="str">
        <f t="shared" si="290"/>
        <v>140</v>
      </c>
      <c r="F751" s="3" t="str">
        <f t="shared" si="307"/>
        <v>100</v>
      </c>
      <c r="G751" s="3" t="str">
        <f>"一级"</f>
        <v>一级</v>
      </c>
    </row>
    <row r="752" customHeight="1" spans="1:7">
      <c r="A752" s="3" t="str">
        <f>"3151"</f>
        <v>3151</v>
      </c>
      <c r="B752" s="3" t="s">
        <v>2105</v>
      </c>
      <c r="C752" s="3" t="str">
        <f>"文源街道"</f>
        <v>文源街道</v>
      </c>
      <c r="D752" s="3" t="str">
        <f>"文源社区"</f>
        <v>文源社区</v>
      </c>
      <c r="E752" s="3" t="str">
        <f t="shared" si="290"/>
        <v>140</v>
      </c>
      <c r="F752" s="3" t="str">
        <f t="shared" si="307"/>
        <v>100</v>
      </c>
      <c r="G752" s="3" t="str">
        <f t="shared" ref="G752:G756" si="309">"二级"</f>
        <v>二级</v>
      </c>
    </row>
    <row r="753" customHeight="1" spans="1:7">
      <c r="A753" s="3" t="str">
        <f>"3152"</f>
        <v>3152</v>
      </c>
      <c r="B753" s="3" t="s">
        <v>322</v>
      </c>
      <c r="C753" s="3" t="str">
        <f>"坡子街街道"</f>
        <v>坡子街街道</v>
      </c>
      <c r="D753" s="3" t="str">
        <f>"楚湘社区"</f>
        <v>楚湘社区</v>
      </c>
      <c r="E753" s="3" t="str">
        <f t="shared" si="290"/>
        <v>140</v>
      </c>
      <c r="F753" s="3" t="str">
        <f t="shared" si="307"/>
        <v>100</v>
      </c>
      <c r="G753" s="3" t="str">
        <f t="shared" si="309"/>
        <v>二级</v>
      </c>
    </row>
    <row r="754" customHeight="1" spans="1:7">
      <c r="A754" s="3" t="str">
        <f>"3153"</f>
        <v>3153</v>
      </c>
      <c r="B754" s="3" t="s">
        <v>2106</v>
      </c>
      <c r="C754" s="3" t="str">
        <f>"裕南街街道"</f>
        <v>裕南街街道</v>
      </c>
      <c r="D754" s="3" t="str">
        <f>"裕南街社区"</f>
        <v>裕南街社区</v>
      </c>
      <c r="E754" s="3" t="str">
        <f t="shared" si="290"/>
        <v>140</v>
      </c>
      <c r="F754" s="3" t="str">
        <f>"0"</f>
        <v>0</v>
      </c>
      <c r="G754" s="3" t="str">
        <f>"四级"</f>
        <v>四级</v>
      </c>
    </row>
    <row r="755" customHeight="1" spans="1:7">
      <c r="A755" s="3" t="str">
        <f>"3154"</f>
        <v>3154</v>
      </c>
      <c r="B755" s="3" t="s">
        <v>2107</v>
      </c>
      <c r="C755" s="3" t="str">
        <f>"新开铺街道"</f>
        <v>新开铺街道</v>
      </c>
      <c r="D755" s="3" t="str">
        <f>"新天社区"</f>
        <v>新天社区</v>
      </c>
      <c r="E755" s="3" t="str">
        <f t="shared" si="290"/>
        <v>140</v>
      </c>
      <c r="F755" s="3" t="str">
        <f t="shared" ref="F755:F758" si="310">"100"</f>
        <v>100</v>
      </c>
      <c r="G755" s="3" t="str">
        <f t="shared" ref="G755:G758" si="311">"一级"</f>
        <v>一级</v>
      </c>
    </row>
    <row r="756" customHeight="1" spans="1:7">
      <c r="A756" s="3" t="str">
        <f>"3155"</f>
        <v>3155</v>
      </c>
      <c r="B756" s="3" t="s">
        <v>2108</v>
      </c>
      <c r="C756" s="3" t="str">
        <f>"暮云街道"</f>
        <v>暮云街道</v>
      </c>
      <c r="D756" s="3" t="str">
        <f>"许兴村"</f>
        <v>许兴村</v>
      </c>
      <c r="E756" s="3" t="str">
        <f t="shared" si="290"/>
        <v>140</v>
      </c>
      <c r="F756" s="3" t="str">
        <f t="shared" si="310"/>
        <v>100</v>
      </c>
      <c r="G756" s="3" t="str">
        <f t="shared" si="309"/>
        <v>二级</v>
      </c>
    </row>
    <row r="757" customHeight="1" spans="1:7">
      <c r="A757" s="3" t="str">
        <f>"3156"</f>
        <v>3156</v>
      </c>
      <c r="B757" s="3" t="s">
        <v>2109</v>
      </c>
      <c r="C757" s="3" t="str">
        <f>"大托铺街道"</f>
        <v>大托铺街道</v>
      </c>
      <c r="D757" s="3" t="str">
        <f>"新港村委会"</f>
        <v>新港村委会</v>
      </c>
      <c r="E757" s="3" t="str">
        <f t="shared" si="290"/>
        <v>140</v>
      </c>
      <c r="F757" s="3" t="str">
        <f t="shared" si="310"/>
        <v>100</v>
      </c>
      <c r="G757" s="3" t="str">
        <f t="shared" si="311"/>
        <v>一级</v>
      </c>
    </row>
    <row r="758" customHeight="1" spans="1:7">
      <c r="A758" s="3" t="str">
        <f>"3157"</f>
        <v>3157</v>
      </c>
      <c r="B758" s="3" t="s">
        <v>2110</v>
      </c>
      <c r="C758" s="3" t="str">
        <f>"青园街道"</f>
        <v>青园街道</v>
      </c>
      <c r="D758" s="3" t="str">
        <f>"友谊社区"</f>
        <v>友谊社区</v>
      </c>
      <c r="E758" s="3" t="str">
        <f t="shared" si="290"/>
        <v>140</v>
      </c>
      <c r="F758" s="3" t="str">
        <f t="shared" si="310"/>
        <v>100</v>
      </c>
      <c r="G758" s="3" t="str">
        <f t="shared" si="311"/>
        <v>一级</v>
      </c>
    </row>
    <row r="759" customHeight="1" spans="1:7">
      <c r="A759" s="3" t="str">
        <f>"3158"</f>
        <v>3158</v>
      </c>
      <c r="B759" s="3" t="s">
        <v>2111</v>
      </c>
      <c r="C759" s="3" t="str">
        <f>"坡子街街道"</f>
        <v>坡子街街道</v>
      </c>
      <c r="D759" s="3" t="str">
        <f>"西湖社区"</f>
        <v>西湖社区</v>
      </c>
      <c r="E759" s="3" t="str">
        <f t="shared" si="290"/>
        <v>140</v>
      </c>
      <c r="F759" s="3" t="str">
        <f>"0"</f>
        <v>0</v>
      </c>
      <c r="G759" s="3" t="str">
        <f>"四级"</f>
        <v>四级</v>
      </c>
    </row>
    <row r="760" customHeight="1" spans="1:7">
      <c r="A760" s="3" t="str">
        <f>"3159"</f>
        <v>3159</v>
      </c>
      <c r="B760" s="3" t="s">
        <v>76</v>
      </c>
      <c r="C760" s="3" t="str">
        <f>"坡子街街道"</f>
        <v>坡子街街道</v>
      </c>
      <c r="D760" s="3" t="str">
        <f>"西湖社区"</f>
        <v>西湖社区</v>
      </c>
      <c r="E760" s="3" t="str">
        <f t="shared" si="290"/>
        <v>140</v>
      </c>
      <c r="F760" s="3" t="str">
        <f t="shared" ref="F760:F765" si="312">"100"</f>
        <v>100</v>
      </c>
      <c r="G760" s="3" t="str">
        <f t="shared" ref="G760:G763" si="313">"二级"</f>
        <v>二级</v>
      </c>
    </row>
    <row r="761" customHeight="1" spans="1:7">
      <c r="A761" s="3" t="str">
        <f>"3160"</f>
        <v>3160</v>
      </c>
      <c r="B761" s="3" t="s">
        <v>1006</v>
      </c>
      <c r="C761" s="3" t="str">
        <f>"裕南街街道"</f>
        <v>裕南街街道</v>
      </c>
      <c r="D761" s="3" t="str">
        <f>"长坡社区"</f>
        <v>长坡社区</v>
      </c>
      <c r="E761" s="3" t="str">
        <f t="shared" si="290"/>
        <v>140</v>
      </c>
      <c r="F761" s="3" t="str">
        <f t="shared" si="312"/>
        <v>100</v>
      </c>
      <c r="G761" s="3" t="str">
        <f t="shared" si="313"/>
        <v>二级</v>
      </c>
    </row>
    <row r="762" customHeight="1" spans="1:7">
      <c r="A762" s="3" t="str">
        <f>"3161"</f>
        <v>3161</v>
      </c>
      <c r="B762" s="3" t="s">
        <v>998</v>
      </c>
      <c r="C762" s="3" t="str">
        <f>"赤岭路街道"</f>
        <v>赤岭路街道</v>
      </c>
      <c r="D762" s="3" t="str">
        <f>"南大桥社区"</f>
        <v>南大桥社区</v>
      </c>
      <c r="E762" s="3" t="str">
        <f t="shared" si="290"/>
        <v>140</v>
      </c>
      <c r="F762" s="3" t="str">
        <f t="shared" si="312"/>
        <v>100</v>
      </c>
      <c r="G762" s="3" t="str">
        <f t="shared" si="313"/>
        <v>二级</v>
      </c>
    </row>
    <row r="763" customHeight="1" spans="1:7">
      <c r="A763" s="3" t="str">
        <f>"3162"</f>
        <v>3162</v>
      </c>
      <c r="B763" s="3" t="s">
        <v>2112</v>
      </c>
      <c r="C763" s="3" t="str">
        <f>"文源街道"</f>
        <v>文源街道</v>
      </c>
      <c r="D763" s="3" t="str">
        <f>"梅岭社区"</f>
        <v>梅岭社区</v>
      </c>
      <c r="E763" s="3" t="str">
        <f t="shared" si="290"/>
        <v>140</v>
      </c>
      <c r="F763" s="3" t="str">
        <f t="shared" si="312"/>
        <v>100</v>
      </c>
      <c r="G763" s="3" t="str">
        <f t="shared" si="313"/>
        <v>二级</v>
      </c>
    </row>
    <row r="764" customHeight="1" spans="1:7">
      <c r="A764" s="3" t="str">
        <f>"3163"</f>
        <v>3163</v>
      </c>
      <c r="B764" s="3" t="s">
        <v>129</v>
      </c>
      <c r="C764" s="3" t="str">
        <f>"文源街道"</f>
        <v>文源街道</v>
      </c>
      <c r="D764" s="3" t="str">
        <f>"状元坡社区"</f>
        <v>状元坡社区</v>
      </c>
      <c r="E764" s="3" t="str">
        <f t="shared" si="290"/>
        <v>140</v>
      </c>
      <c r="F764" s="3" t="str">
        <f t="shared" si="312"/>
        <v>100</v>
      </c>
      <c r="G764" s="3" t="str">
        <f>"一级"</f>
        <v>一级</v>
      </c>
    </row>
    <row r="765" customHeight="1" spans="1:7">
      <c r="A765" s="3" t="str">
        <f>"3164"</f>
        <v>3164</v>
      </c>
      <c r="B765" s="3" t="s">
        <v>2113</v>
      </c>
      <c r="C765" s="3" t="str">
        <f>"金盆岭街道"</f>
        <v>金盆岭街道</v>
      </c>
      <c r="D765" s="3" t="str">
        <f>"黄土岭社区"</f>
        <v>黄土岭社区</v>
      </c>
      <c r="E765" s="3" t="str">
        <f t="shared" si="290"/>
        <v>140</v>
      </c>
      <c r="F765" s="3" t="str">
        <f t="shared" si="312"/>
        <v>100</v>
      </c>
      <c r="G765" s="3" t="str">
        <f>"一级"</f>
        <v>一级</v>
      </c>
    </row>
    <row r="766" customHeight="1" spans="1:7">
      <c r="A766" s="3" t="str">
        <f>"3165"</f>
        <v>3165</v>
      </c>
      <c r="B766" s="3" t="s">
        <v>2114</v>
      </c>
      <c r="C766" s="3" t="str">
        <f t="shared" ref="C766:C771" si="314">"坡子街街道"</f>
        <v>坡子街街道</v>
      </c>
      <c r="D766" s="3" t="str">
        <f>"碧湘社区"</f>
        <v>碧湘社区</v>
      </c>
      <c r="E766" s="3" t="str">
        <f t="shared" si="290"/>
        <v>140</v>
      </c>
      <c r="F766" s="3" t="str">
        <f t="shared" ref="F766:F770" si="315">"0"</f>
        <v>0</v>
      </c>
      <c r="G766" s="3" t="str">
        <f>"三级"</f>
        <v>三级</v>
      </c>
    </row>
    <row r="767" customHeight="1" spans="1:7">
      <c r="A767" s="3" t="str">
        <f>"3166"</f>
        <v>3166</v>
      </c>
      <c r="B767" s="3" t="s">
        <v>139</v>
      </c>
      <c r="C767" s="3" t="str">
        <f>"裕南街街道"</f>
        <v>裕南街街道</v>
      </c>
      <c r="D767" s="3" t="str">
        <f>"南站社区"</f>
        <v>南站社区</v>
      </c>
      <c r="E767" s="3" t="str">
        <f t="shared" si="290"/>
        <v>140</v>
      </c>
      <c r="F767" s="3" t="str">
        <f t="shared" si="315"/>
        <v>0</v>
      </c>
      <c r="G767" s="3" t="str">
        <f>"四级"</f>
        <v>四级</v>
      </c>
    </row>
    <row r="768" customHeight="1" spans="1:7">
      <c r="A768" s="3" t="str">
        <f>"3167"</f>
        <v>3167</v>
      </c>
      <c r="B768" s="3" t="s">
        <v>80</v>
      </c>
      <c r="C768" s="3" t="str">
        <f t="shared" si="314"/>
        <v>坡子街街道</v>
      </c>
      <c r="D768" s="3" t="str">
        <f>"文庙坪社区"</f>
        <v>文庙坪社区</v>
      </c>
      <c r="E768" s="3" t="str">
        <f t="shared" si="290"/>
        <v>140</v>
      </c>
      <c r="F768" s="3" t="str">
        <f t="shared" ref="F768:F789" si="316">"100"</f>
        <v>100</v>
      </c>
      <c r="G768" s="3" t="str">
        <f t="shared" ref="G768:G772" si="317">"二级"</f>
        <v>二级</v>
      </c>
    </row>
    <row r="769" customHeight="1" spans="1:7">
      <c r="A769" s="3" t="str">
        <f>"3168"</f>
        <v>3168</v>
      </c>
      <c r="B769" s="3" t="s">
        <v>2115</v>
      </c>
      <c r="C769" s="3" t="str">
        <f>"南托街道"</f>
        <v>南托街道</v>
      </c>
      <c r="D769" s="3" t="str">
        <f>"牛角塘村"</f>
        <v>牛角塘村</v>
      </c>
      <c r="E769" s="3" t="str">
        <f t="shared" si="290"/>
        <v>140</v>
      </c>
      <c r="F769" s="3" t="str">
        <f t="shared" si="316"/>
        <v>100</v>
      </c>
      <c r="G769" s="3" t="str">
        <f t="shared" si="317"/>
        <v>二级</v>
      </c>
    </row>
    <row r="770" customHeight="1" spans="1:7">
      <c r="A770" s="3" t="str">
        <f>"3169"</f>
        <v>3169</v>
      </c>
      <c r="B770" s="3" t="s">
        <v>2116</v>
      </c>
      <c r="C770" s="3" t="str">
        <f>"裕南街街道"</f>
        <v>裕南街街道</v>
      </c>
      <c r="D770" s="3" t="str">
        <f>"碧沙湖社区"</f>
        <v>碧沙湖社区</v>
      </c>
      <c r="E770" s="3" t="str">
        <f t="shared" ref="E770:E833" si="318">"140"</f>
        <v>140</v>
      </c>
      <c r="F770" s="3" t="str">
        <f t="shared" si="315"/>
        <v>0</v>
      </c>
      <c r="G770" s="3" t="str">
        <f>"四级"</f>
        <v>四级</v>
      </c>
    </row>
    <row r="771" customHeight="1" spans="1:7">
      <c r="A771" s="3" t="str">
        <f>"3170"</f>
        <v>3170</v>
      </c>
      <c r="B771" s="3" t="s">
        <v>2117</v>
      </c>
      <c r="C771" s="3" t="str">
        <f t="shared" si="314"/>
        <v>坡子街街道</v>
      </c>
      <c r="D771" s="3" t="str">
        <f>"西湖社区"</f>
        <v>西湖社区</v>
      </c>
      <c r="E771" s="3" t="str">
        <f t="shared" si="318"/>
        <v>140</v>
      </c>
      <c r="F771" s="3" t="str">
        <f t="shared" si="316"/>
        <v>100</v>
      </c>
      <c r="G771" s="3" t="str">
        <f t="shared" si="317"/>
        <v>二级</v>
      </c>
    </row>
    <row r="772" customHeight="1" spans="1:7">
      <c r="A772" s="3" t="str">
        <f>"3171"</f>
        <v>3171</v>
      </c>
      <c r="B772" s="3" t="s">
        <v>2118</v>
      </c>
      <c r="C772" s="3" t="str">
        <f>"金盆岭街道"</f>
        <v>金盆岭街道</v>
      </c>
      <c r="D772" s="3" t="str">
        <f>"天剑社区"</f>
        <v>天剑社区</v>
      </c>
      <c r="E772" s="3" t="str">
        <f t="shared" si="318"/>
        <v>140</v>
      </c>
      <c r="F772" s="3" t="str">
        <f t="shared" si="316"/>
        <v>100</v>
      </c>
      <c r="G772" s="3" t="str">
        <f t="shared" si="317"/>
        <v>二级</v>
      </c>
    </row>
    <row r="773" customHeight="1" spans="1:7">
      <c r="A773" s="3" t="str">
        <f>"3172"</f>
        <v>3172</v>
      </c>
      <c r="B773" s="3" t="s">
        <v>2119</v>
      </c>
      <c r="C773" s="3" t="str">
        <f t="shared" ref="C773:C778" si="319">"新开铺街道"</f>
        <v>新开铺街道</v>
      </c>
      <c r="D773" s="3" t="str">
        <f>"新开铺社区"</f>
        <v>新开铺社区</v>
      </c>
      <c r="E773" s="3" t="str">
        <f t="shared" si="318"/>
        <v>140</v>
      </c>
      <c r="F773" s="3" t="str">
        <f t="shared" si="316"/>
        <v>100</v>
      </c>
      <c r="G773" s="3" t="str">
        <f t="shared" ref="G773:G777" si="320">"一级"</f>
        <v>一级</v>
      </c>
    </row>
    <row r="774" customHeight="1" spans="1:7">
      <c r="A774" s="3" t="str">
        <f>"3173"</f>
        <v>3173</v>
      </c>
      <c r="B774" s="3" t="s">
        <v>139</v>
      </c>
      <c r="C774" s="3" t="str">
        <f t="shared" si="319"/>
        <v>新开铺街道</v>
      </c>
      <c r="D774" s="3" t="str">
        <f>"桥头社区"</f>
        <v>桥头社区</v>
      </c>
      <c r="E774" s="3" t="str">
        <f t="shared" si="318"/>
        <v>140</v>
      </c>
      <c r="F774" s="3" t="str">
        <f t="shared" si="316"/>
        <v>100</v>
      </c>
      <c r="G774" s="3" t="str">
        <f t="shared" ref="G774:G782" si="321">"二级"</f>
        <v>二级</v>
      </c>
    </row>
    <row r="775" customHeight="1" spans="1:7">
      <c r="A775" s="3" t="str">
        <f>"3174"</f>
        <v>3174</v>
      </c>
      <c r="B775" s="3" t="s">
        <v>328</v>
      </c>
      <c r="C775" s="3" t="str">
        <f>"城南路街道"</f>
        <v>城南路街道</v>
      </c>
      <c r="D775" s="3" t="str">
        <f>"古道巷社区"</f>
        <v>古道巷社区</v>
      </c>
      <c r="E775" s="3" t="str">
        <f t="shared" si="318"/>
        <v>140</v>
      </c>
      <c r="F775" s="3" t="str">
        <f t="shared" si="316"/>
        <v>100</v>
      </c>
      <c r="G775" s="3" t="str">
        <f t="shared" si="321"/>
        <v>二级</v>
      </c>
    </row>
    <row r="776" customHeight="1" spans="1:7">
      <c r="A776" s="3" t="str">
        <f>"3175"</f>
        <v>3175</v>
      </c>
      <c r="B776" s="3" t="s">
        <v>1345</v>
      </c>
      <c r="C776" s="3" t="str">
        <f>"城南路街道"</f>
        <v>城南路街道</v>
      </c>
      <c r="D776" s="3" t="str">
        <f>"古道巷社区"</f>
        <v>古道巷社区</v>
      </c>
      <c r="E776" s="3" t="str">
        <f t="shared" si="318"/>
        <v>140</v>
      </c>
      <c r="F776" s="3" t="str">
        <f t="shared" si="316"/>
        <v>100</v>
      </c>
      <c r="G776" s="3" t="str">
        <f t="shared" si="320"/>
        <v>一级</v>
      </c>
    </row>
    <row r="777" customHeight="1" spans="1:7">
      <c r="A777" s="3" t="str">
        <f>"3176"</f>
        <v>3176</v>
      </c>
      <c r="B777" s="3" t="s">
        <v>2120</v>
      </c>
      <c r="C777" s="3" t="str">
        <f t="shared" ref="C777:C783" si="322">"暮云街道"</f>
        <v>暮云街道</v>
      </c>
      <c r="D777" s="3" t="str">
        <f t="shared" ref="D777:D783" si="323">"弘高社区"</f>
        <v>弘高社区</v>
      </c>
      <c r="E777" s="3" t="str">
        <f t="shared" si="318"/>
        <v>140</v>
      </c>
      <c r="F777" s="3" t="str">
        <f t="shared" si="316"/>
        <v>100</v>
      </c>
      <c r="G777" s="3" t="str">
        <f t="shared" si="320"/>
        <v>一级</v>
      </c>
    </row>
    <row r="778" customHeight="1" spans="1:7">
      <c r="A778" s="3" t="str">
        <f>"3177"</f>
        <v>3177</v>
      </c>
      <c r="B778" s="3" t="s">
        <v>2121</v>
      </c>
      <c r="C778" s="3" t="str">
        <f t="shared" si="319"/>
        <v>新开铺街道</v>
      </c>
      <c r="D778" s="3" t="str">
        <f>"新天社区"</f>
        <v>新天社区</v>
      </c>
      <c r="E778" s="3" t="str">
        <f t="shared" si="318"/>
        <v>140</v>
      </c>
      <c r="F778" s="3" t="str">
        <f t="shared" si="316"/>
        <v>100</v>
      </c>
      <c r="G778" s="3" t="str">
        <f t="shared" si="321"/>
        <v>二级</v>
      </c>
    </row>
    <row r="779" customHeight="1" spans="1:7">
      <c r="A779" s="3" t="str">
        <f>"3178"</f>
        <v>3178</v>
      </c>
      <c r="B779" s="3" t="s">
        <v>2122</v>
      </c>
      <c r="C779" s="3" t="str">
        <f t="shared" si="322"/>
        <v>暮云街道</v>
      </c>
      <c r="D779" s="3" t="str">
        <f t="shared" si="323"/>
        <v>弘高社区</v>
      </c>
      <c r="E779" s="3" t="str">
        <f t="shared" si="318"/>
        <v>140</v>
      </c>
      <c r="F779" s="3" t="str">
        <f t="shared" si="316"/>
        <v>100</v>
      </c>
      <c r="G779" s="3" t="str">
        <f t="shared" si="321"/>
        <v>二级</v>
      </c>
    </row>
    <row r="780" customHeight="1" spans="1:7">
      <c r="A780" s="3" t="str">
        <f>"3179"</f>
        <v>3179</v>
      </c>
      <c r="B780" s="3" t="s">
        <v>2123</v>
      </c>
      <c r="C780" s="3" t="str">
        <f t="shared" si="322"/>
        <v>暮云街道</v>
      </c>
      <c r="D780" s="3" t="str">
        <f t="shared" si="323"/>
        <v>弘高社区</v>
      </c>
      <c r="E780" s="3" t="str">
        <f t="shared" si="318"/>
        <v>140</v>
      </c>
      <c r="F780" s="3" t="str">
        <f t="shared" si="316"/>
        <v>100</v>
      </c>
      <c r="G780" s="3" t="str">
        <f t="shared" si="321"/>
        <v>二级</v>
      </c>
    </row>
    <row r="781" customHeight="1" spans="1:7">
      <c r="A781" s="3" t="str">
        <f>"3180"</f>
        <v>3180</v>
      </c>
      <c r="B781" s="3" t="s">
        <v>2124</v>
      </c>
      <c r="C781" s="3" t="str">
        <f t="shared" si="322"/>
        <v>暮云街道</v>
      </c>
      <c r="D781" s="3" t="str">
        <f t="shared" si="323"/>
        <v>弘高社区</v>
      </c>
      <c r="E781" s="3" t="str">
        <f t="shared" si="318"/>
        <v>140</v>
      </c>
      <c r="F781" s="3" t="str">
        <f t="shared" si="316"/>
        <v>100</v>
      </c>
      <c r="G781" s="3" t="str">
        <f t="shared" si="321"/>
        <v>二级</v>
      </c>
    </row>
    <row r="782" customHeight="1" spans="1:7">
      <c r="A782" s="3" t="str">
        <f>"3181"</f>
        <v>3181</v>
      </c>
      <c r="B782" s="3" t="s">
        <v>2125</v>
      </c>
      <c r="C782" s="3" t="str">
        <f t="shared" si="322"/>
        <v>暮云街道</v>
      </c>
      <c r="D782" s="3" t="str">
        <f t="shared" si="323"/>
        <v>弘高社区</v>
      </c>
      <c r="E782" s="3" t="str">
        <f t="shared" si="318"/>
        <v>140</v>
      </c>
      <c r="F782" s="3" t="str">
        <f t="shared" si="316"/>
        <v>100</v>
      </c>
      <c r="G782" s="3" t="str">
        <f t="shared" si="321"/>
        <v>二级</v>
      </c>
    </row>
    <row r="783" customHeight="1" spans="1:7">
      <c r="A783" s="3" t="str">
        <f>"3182"</f>
        <v>3182</v>
      </c>
      <c r="B783" s="3" t="s">
        <v>2126</v>
      </c>
      <c r="C783" s="3" t="str">
        <f t="shared" si="322"/>
        <v>暮云街道</v>
      </c>
      <c r="D783" s="3" t="str">
        <f t="shared" si="323"/>
        <v>弘高社区</v>
      </c>
      <c r="E783" s="3" t="str">
        <f t="shared" si="318"/>
        <v>140</v>
      </c>
      <c r="F783" s="3" t="str">
        <f t="shared" si="316"/>
        <v>100</v>
      </c>
      <c r="G783" s="3" t="str">
        <f>"一级"</f>
        <v>一级</v>
      </c>
    </row>
    <row r="784" customHeight="1" spans="1:7">
      <c r="A784" s="3" t="str">
        <f>"3183"</f>
        <v>3183</v>
      </c>
      <c r="B784" s="3" t="s">
        <v>445</v>
      </c>
      <c r="C784" s="3" t="str">
        <f>"南托街道"</f>
        <v>南托街道</v>
      </c>
      <c r="D784" s="3" t="str">
        <f>"北塘社区"</f>
        <v>北塘社区</v>
      </c>
      <c r="E784" s="3" t="str">
        <f t="shared" si="318"/>
        <v>140</v>
      </c>
      <c r="F784" s="3" t="str">
        <f t="shared" si="316"/>
        <v>100</v>
      </c>
      <c r="G784" s="3" t="str">
        <f t="shared" ref="G784:G786" si="324">"二级"</f>
        <v>二级</v>
      </c>
    </row>
    <row r="785" customHeight="1" spans="1:7">
      <c r="A785" s="3" t="str">
        <f>"3184"</f>
        <v>3184</v>
      </c>
      <c r="B785" s="3" t="s">
        <v>125</v>
      </c>
      <c r="C785" s="3" t="str">
        <f t="shared" ref="C785:C790" si="325">"黑石铺街道"</f>
        <v>黑石铺街道</v>
      </c>
      <c r="D785" s="3" t="str">
        <f>"黑石铺社区"</f>
        <v>黑石铺社区</v>
      </c>
      <c r="E785" s="3" t="str">
        <f t="shared" si="318"/>
        <v>140</v>
      </c>
      <c r="F785" s="3" t="str">
        <f t="shared" si="316"/>
        <v>100</v>
      </c>
      <c r="G785" s="3" t="str">
        <f t="shared" si="324"/>
        <v>二级</v>
      </c>
    </row>
    <row r="786" customHeight="1" spans="1:7">
      <c r="A786" s="3" t="str">
        <f>"3185"</f>
        <v>3185</v>
      </c>
      <c r="B786" s="3" t="s">
        <v>2127</v>
      </c>
      <c r="C786" s="3" t="str">
        <f t="shared" si="325"/>
        <v>黑石铺街道</v>
      </c>
      <c r="D786" s="3" t="str">
        <f>"一力社区"</f>
        <v>一力社区</v>
      </c>
      <c r="E786" s="3" t="str">
        <f t="shared" si="318"/>
        <v>140</v>
      </c>
      <c r="F786" s="3" t="str">
        <f t="shared" si="316"/>
        <v>100</v>
      </c>
      <c r="G786" s="3" t="str">
        <f t="shared" si="324"/>
        <v>二级</v>
      </c>
    </row>
    <row r="787" customHeight="1" spans="1:7">
      <c r="A787" s="3" t="str">
        <f>"3186"</f>
        <v>3186</v>
      </c>
      <c r="B787" s="3" t="s">
        <v>2128</v>
      </c>
      <c r="C787" s="3" t="str">
        <f>"文源街道"</f>
        <v>文源街道</v>
      </c>
      <c r="D787" s="3" t="str">
        <f>"金汇社区"</f>
        <v>金汇社区</v>
      </c>
      <c r="E787" s="3" t="str">
        <f t="shared" si="318"/>
        <v>140</v>
      </c>
      <c r="F787" s="3" t="str">
        <f t="shared" si="316"/>
        <v>100</v>
      </c>
      <c r="G787" s="3" t="str">
        <f>"一级"</f>
        <v>一级</v>
      </c>
    </row>
    <row r="788" customHeight="1" spans="1:7">
      <c r="A788" s="3" t="str">
        <f>"3187"</f>
        <v>3187</v>
      </c>
      <c r="B788" s="3" t="s">
        <v>146</v>
      </c>
      <c r="C788" s="3" t="str">
        <f>"暮云街道"</f>
        <v>暮云街道</v>
      </c>
      <c r="D788" s="3" t="str">
        <f>"弘高社区"</f>
        <v>弘高社区</v>
      </c>
      <c r="E788" s="3" t="str">
        <f t="shared" si="318"/>
        <v>140</v>
      </c>
      <c r="F788" s="3" t="str">
        <f t="shared" si="316"/>
        <v>100</v>
      </c>
      <c r="G788" s="3" t="str">
        <f t="shared" ref="G788:G793" si="326">"二级"</f>
        <v>二级</v>
      </c>
    </row>
    <row r="789" customHeight="1" spans="1:7">
      <c r="A789" s="3" t="str">
        <f>"3188"</f>
        <v>3188</v>
      </c>
      <c r="B789" s="3" t="s">
        <v>2129</v>
      </c>
      <c r="C789" s="3" t="str">
        <f>"暮云街道"</f>
        <v>暮云街道</v>
      </c>
      <c r="D789" s="3" t="str">
        <f>"弘高社区"</f>
        <v>弘高社区</v>
      </c>
      <c r="E789" s="3" t="str">
        <f t="shared" si="318"/>
        <v>140</v>
      </c>
      <c r="F789" s="3" t="str">
        <f t="shared" si="316"/>
        <v>100</v>
      </c>
      <c r="G789" s="3" t="str">
        <f>"一级"</f>
        <v>一级</v>
      </c>
    </row>
    <row r="790" customHeight="1" spans="1:7">
      <c r="A790" s="3" t="str">
        <f>"3189"</f>
        <v>3189</v>
      </c>
      <c r="B790" s="3" t="s">
        <v>2130</v>
      </c>
      <c r="C790" s="3" t="str">
        <f t="shared" si="325"/>
        <v>黑石铺街道</v>
      </c>
      <c r="D790" s="3" t="str">
        <f>"黑石铺社区"</f>
        <v>黑石铺社区</v>
      </c>
      <c r="E790" s="3" t="str">
        <f t="shared" si="318"/>
        <v>140</v>
      </c>
      <c r="F790" s="3" t="str">
        <f>"0"</f>
        <v>0</v>
      </c>
      <c r="G790" s="3" t="str">
        <f>"三级"</f>
        <v>三级</v>
      </c>
    </row>
    <row r="791" customHeight="1" spans="1:7">
      <c r="A791" s="3" t="str">
        <f>"3190"</f>
        <v>3190</v>
      </c>
      <c r="B791" s="3" t="s">
        <v>2131</v>
      </c>
      <c r="C791" s="3" t="str">
        <f t="shared" ref="C791:C797" si="327">"裕南街街道"</f>
        <v>裕南街街道</v>
      </c>
      <c r="D791" s="3" t="str">
        <f>"宝塔山社区"</f>
        <v>宝塔山社区</v>
      </c>
      <c r="E791" s="3" t="str">
        <f t="shared" si="318"/>
        <v>140</v>
      </c>
      <c r="F791" s="3" t="str">
        <f>"0"</f>
        <v>0</v>
      </c>
      <c r="G791" s="3" t="str">
        <f>"四级"</f>
        <v>四级</v>
      </c>
    </row>
    <row r="792" customHeight="1" spans="1:7">
      <c r="A792" s="3" t="str">
        <f>"3191"</f>
        <v>3191</v>
      </c>
      <c r="B792" s="3" t="s">
        <v>2132</v>
      </c>
      <c r="C792" s="3" t="str">
        <f>"南托街道"</f>
        <v>南托街道</v>
      </c>
      <c r="D792" s="3" t="str">
        <f>"滨洲新村"</f>
        <v>滨洲新村</v>
      </c>
      <c r="E792" s="3" t="str">
        <f t="shared" si="318"/>
        <v>140</v>
      </c>
      <c r="F792" s="3" t="str">
        <f t="shared" ref="F792:F801" si="328">"100"</f>
        <v>100</v>
      </c>
      <c r="G792" s="3" t="str">
        <f t="shared" si="326"/>
        <v>二级</v>
      </c>
    </row>
    <row r="793" customHeight="1" spans="1:7">
      <c r="A793" s="3" t="str">
        <f>"3192"</f>
        <v>3192</v>
      </c>
      <c r="B793" s="3" t="s">
        <v>2133</v>
      </c>
      <c r="C793" s="3" t="str">
        <f>"黑石铺街道"</f>
        <v>黑石铺街道</v>
      </c>
      <c r="D793" s="3" t="str">
        <f>"黑石铺社区"</f>
        <v>黑石铺社区</v>
      </c>
      <c r="E793" s="3" t="str">
        <f t="shared" si="318"/>
        <v>140</v>
      </c>
      <c r="F793" s="3" t="str">
        <f t="shared" si="328"/>
        <v>100</v>
      </c>
      <c r="G793" s="3" t="str">
        <f t="shared" si="326"/>
        <v>二级</v>
      </c>
    </row>
    <row r="794" customHeight="1" spans="1:7">
      <c r="A794" s="3" t="str">
        <f>"3193"</f>
        <v>3193</v>
      </c>
      <c r="B794" s="3" t="s">
        <v>1007</v>
      </c>
      <c r="C794" s="3" t="str">
        <f t="shared" si="327"/>
        <v>裕南街街道</v>
      </c>
      <c r="D794" s="3" t="str">
        <f>"宝塔山社区"</f>
        <v>宝塔山社区</v>
      </c>
      <c r="E794" s="3" t="str">
        <f t="shared" si="318"/>
        <v>140</v>
      </c>
      <c r="F794" s="3" t="str">
        <f t="shared" si="328"/>
        <v>100</v>
      </c>
      <c r="G794" s="3" t="str">
        <f>"一级"</f>
        <v>一级</v>
      </c>
    </row>
    <row r="795" customHeight="1" spans="1:7">
      <c r="A795" s="3" t="str">
        <f>"3194"</f>
        <v>3194</v>
      </c>
      <c r="B795" s="3" t="s">
        <v>238</v>
      </c>
      <c r="C795" s="3" t="str">
        <f t="shared" si="327"/>
        <v>裕南街街道</v>
      </c>
      <c r="D795" s="3" t="str">
        <f>"东瓜山社区"</f>
        <v>东瓜山社区</v>
      </c>
      <c r="E795" s="3" t="str">
        <f t="shared" si="318"/>
        <v>140</v>
      </c>
      <c r="F795" s="3" t="str">
        <f t="shared" si="328"/>
        <v>100</v>
      </c>
      <c r="G795" s="3" t="str">
        <f t="shared" ref="G795:G801" si="329">"二级"</f>
        <v>二级</v>
      </c>
    </row>
    <row r="796" customHeight="1" spans="1:7">
      <c r="A796" s="3" t="str">
        <f>"3195"</f>
        <v>3195</v>
      </c>
      <c r="B796" s="3" t="s">
        <v>420</v>
      </c>
      <c r="C796" s="3" t="str">
        <f t="shared" si="327"/>
        <v>裕南街街道</v>
      </c>
      <c r="D796" s="3" t="str">
        <f>"石子冲社区"</f>
        <v>石子冲社区</v>
      </c>
      <c r="E796" s="3" t="str">
        <f t="shared" si="318"/>
        <v>140</v>
      </c>
      <c r="F796" s="3" t="str">
        <f t="shared" si="328"/>
        <v>100</v>
      </c>
      <c r="G796" s="3" t="str">
        <f t="shared" si="329"/>
        <v>二级</v>
      </c>
    </row>
    <row r="797" customHeight="1" spans="1:7">
      <c r="A797" s="3" t="str">
        <f>"3196"</f>
        <v>3196</v>
      </c>
      <c r="B797" s="3" t="s">
        <v>2134</v>
      </c>
      <c r="C797" s="3" t="str">
        <f t="shared" si="327"/>
        <v>裕南街街道</v>
      </c>
      <c r="D797" s="3" t="str">
        <f>"裕南街社区"</f>
        <v>裕南街社区</v>
      </c>
      <c r="E797" s="3" t="str">
        <f t="shared" si="318"/>
        <v>140</v>
      </c>
      <c r="F797" s="3" t="str">
        <f t="shared" si="328"/>
        <v>100</v>
      </c>
      <c r="G797" s="3" t="str">
        <f t="shared" si="329"/>
        <v>二级</v>
      </c>
    </row>
    <row r="798" customHeight="1" spans="1:7">
      <c r="A798" s="3" t="str">
        <f>"3197"</f>
        <v>3197</v>
      </c>
      <c r="B798" s="3" t="s">
        <v>63</v>
      </c>
      <c r="C798" s="3" t="str">
        <f>"新开铺街道"</f>
        <v>新开铺街道</v>
      </c>
      <c r="D798" s="3" t="str">
        <f>"新开铺社区"</f>
        <v>新开铺社区</v>
      </c>
      <c r="E798" s="3" t="str">
        <f t="shared" si="318"/>
        <v>140</v>
      </c>
      <c r="F798" s="3" t="str">
        <f t="shared" si="328"/>
        <v>100</v>
      </c>
      <c r="G798" s="3" t="str">
        <f t="shared" si="329"/>
        <v>二级</v>
      </c>
    </row>
    <row r="799" customHeight="1" spans="1:7">
      <c r="A799" s="3" t="str">
        <f>"3198"</f>
        <v>3198</v>
      </c>
      <c r="B799" s="3" t="s">
        <v>2135</v>
      </c>
      <c r="C799" s="3" t="str">
        <f t="shared" ref="C799:C804" si="330">"坡子街街道"</f>
        <v>坡子街街道</v>
      </c>
      <c r="D799" s="3" t="str">
        <f>"创远社区"</f>
        <v>创远社区</v>
      </c>
      <c r="E799" s="3" t="str">
        <f t="shared" si="318"/>
        <v>140</v>
      </c>
      <c r="F799" s="3" t="str">
        <f t="shared" si="328"/>
        <v>100</v>
      </c>
      <c r="G799" s="3" t="str">
        <f t="shared" si="329"/>
        <v>二级</v>
      </c>
    </row>
    <row r="800" customHeight="1" spans="1:7">
      <c r="A800" s="3" t="str">
        <f>"3199"</f>
        <v>3199</v>
      </c>
      <c r="B800" s="3" t="s">
        <v>418</v>
      </c>
      <c r="C800" s="3" t="str">
        <f t="shared" si="330"/>
        <v>坡子街街道</v>
      </c>
      <c r="D800" s="3" t="str">
        <f>"西湖社区"</f>
        <v>西湖社区</v>
      </c>
      <c r="E800" s="3" t="str">
        <f t="shared" si="318"/>
        <v>140</v>
      </c>
      <c r="F800" s="3" t="str">
        <f t="shared" si="328"/>
        <v>100</v>
      </c>
      <c r="G800" s="3" t="str">
        <f t="shared" si="329"/>
        <v>二级</v>
      </c>
    </row>
    <row r="801" customHeight="1" spans="1:7">
      <c r="A801" s="3" t="str">
        <f>"3200"</f>
        <v>3200</v>
      </c>
      <c r="B801" s="3" t="s">
        <v>2136</v>
      </c>
      <c r="C801" s="3" t="str">
        <f>"赤岭路街道"</f>
        <v>赤岭路街道</v>
      </c>
      <c r="D801" s="3" t="str">
        <f>"芙蓉南路社区"</f>
        <v>芙蓉南路社区</v>
      </c>
      <c r="E801" s="3" t="str">
        <f t="shared" si="318"/>
        <v>140</v>
      </c>
      <c r="F801" s="3" t="str">
        <f t="shared" si="328"/>
        <v>100</v>
      </c>
      <c r="G801" s="3" t="str">
        <f t="shared" si="329"/>
        <v>二级</v>
      </c>
    </row>
    <row r="802" customHeight="1" spans="1:7">
      <c r="A802" s="3" t="str">
        <f>"3201"</f>
        <v>3201</v>
      </c>
      <c r="B802" s="3" t="s">
        <v>2137</v>
      </c>
      <c r="C802" s="3" t="str">
        <f>"裕南街街道"</f>
        <v>裕南街街道</v>
      </c>
      <c r="D802" s="3" t="str">
        <f>"向东南社区"</f>
        <v>向东南社区</v>
      </c>
      <c r="E802" s="3" t="str">
        <f t="shared" si="318"/>
        <v>140</v>
      </c>
      <c r="F802" s="3" t="str">
        <f>"0"</f>
        <v>0</v>
      </c>
      <c r="G802" s="3" t="str">
        <f>"四级"</f>
        <v>四级</v>
      </c>
    </row>
    <row r="803" customHeight="1" spans="1:7">
      <c r="A803" s="3" t="str">
        <f>"3202"</f>
        <v>3202</v>
      </c>
      <c r="B803" s="3" t="s">
        <v>138</v>
      </c>
      <c r="C803" s="3" t="str">
        <f>"新开铺街道"</f>
        <v>新开铺街道</v>
      </c>
      <c r="D803" s="3" t="str">
        <f>"桥头社区"</f>
        <v>桥头社区</v>
      </c>
      <c r="E803" s="3" t="str">
        <f t="shared" si="318"/>
        <v>140</v>
      </c>
      <c r="F803" s="3" t="str">
        <f t="shared" ref="F803:F811" si="331">"100"</f>
        <v>100</v>
      </c>
      <c r="G803" s="3" t="str">
        <f t="shared" ref="G803:G810" si="332">"二级"</f>
        <v>二级</v>
      </c>
    </row>
    <row r="804" customHeight="1" spans="1:7">
      <c r="A804" s="3" t="str">
        <f>"3203"</f>
        <v>3203</v>
      </c>
      <c r="B804" s="3" t="s">
        <v>146</v>
      </c>
      <c r="C804" s="3" t="str">
        <f t="shared" si="330"/>
        <v>坡子街街道</v>
      </c>
      <c r="D804" s="3" t="str">
        <f>"登仁桥社区"</f>
        <v>登仁桥社区</v>
      </c>
      <c r="E804" s="3" t="str">
        <f t="shared" si="318"/>
        <v>140</v>
      </c>
      <c r="F804" s="3" t="str">
        <f>"0"</f>
        <v>0</v>
      </c>
      <c r="G804" s="3" t="str">
        <f>"三级"</f>
        <v>三级</v>
      </c>
    </row>
    <row r="805" customHeight="1" spans="1:7">
      <c r="A805" s="3" t="str">
        <f>"3204"</f>
        <v>3204</v>
      </c>
      <c r="B805" s="3" t="s">
        <v>146</v>
      </c>
      <c r="C805" s="3" t="str">
        <f>"桂花坪街道"</f>
        <v>桂花坪街道</v>
      </c>
      <c r="D805" s="3" t="str">
        <f>"新园社区"</f>
        <v>新园社区</v>
      </c>
      <c r="E805" s="3" t="str">
        <f t="shared" si="318"/>
        <v>140</v>
      </c>
      <c r="F805" s="3" t="str">
        <f t="shared" si="331"/>
        <v>100</v>
      </c>
      <c r="G805" s="3" t="str">
        <f t="shared" si="332"/>
        <v>二级</v>
      </c>
    </row>
    <row r="806" customHeight="1" spans="1:7">
      <c r="A806" s="3" t="str">
        <f>"3205"</f>
        <v>3205</v>
      </c>
      <c r="B806" s="3" t="s">
        <v>797</v>
      </c>
      <c r="C806" s="3" t="str">
        <f t="shared" ref="C806:C811" si="333">"坡子街街道"</f>
        <v>坡子街街道</v>
      </c>
      <c r="D806" s="3" t="str">
        <f>"登仁桥社区"</f>
        <v>登仁桥社区</v>
      </c>
      <c r="E806" s="3" t="str">
        <f t="shared" si="318"/>
        <v>140</v>
      </c>
      <c r="F806" s="3" t="str">
        <f t="shared" si="331"/>
        <v>100</v>
      </c>
      <c r="G806" s="3" t="str">
        <f t="shared" ref="G806:G811" si="334">"一级"</f>
        <v>一级</v>
      </c>
    </row>
    <row r="807" customHeight="1" spans="1:7">
      <c r="A807" s="3" t="str">
        <f>"3206"</f>
        <v>3206</v>
      </c>
      <c r="B807" s="3" t="s">
        <v>2138</v>
      </c>
      <c r="C807" s="3" t="str">
        <f t="shared" si="333"/>
        <v>坡子街街道</v>
      </c>
      <c r="D807" s="3" t="str">
        <f>"创远社区"</f>
        <v>创远社区</v>
      </c>
      <c r="E807" s="3" t="str">
        <f t="shared" si="318"/>
        <v>140</v>
      </c>
      <c r="F807" s="3" t="str">
        <f t="shared" si="331"/>
        <v>100</v>
      </c>
      <c r="G807" s="3" t="str">
        <f t="shared" si="334"/>
        <v>一级</v>
      </c>
    </row>
    <row r="808" customHeight="1" spans="1:7">
      <c r="A808" s="3" t="str">
        <f>"3207"</f>
        <v>3207</v>
      </c>
      <c r="B808" s="3" t="s">
        <v>80</v>
      </c>
      <c r="C808" s="3" t="str">
        <f>"青园街道"</f>
        <v>青园街道</v>
      </c>
      <c r="D808" s="3" t="str">
        <f>"井湾子社区"</f>
        <v>井湾子社区</v>
      </c>
      <c r="E808" s="3" t="str">
        <f t="shared" si="318"/>
        <v>140</v>
      </c>
      <c r="F808" s="3" t="str">
        <f t="shared" si="331"/>
        <v>100</v>
      </c>
      <c r="G808" s="3" t="str">
        <f t="shared" si="332"/>
        <v>二级</v>
      </c>
    </row>
    <row r="809" customHeight="1" spans="1:7">
      <c r="A809" s="3" t="str">
        <f>"3208"</f>
        <v>3208</v>
      </c>
      <c r="B809" s="3" t="s">
        <v>2139</v>
      </c>
      <c r="C809" s="3" t="str">
        <f>"金盆岭街道"</f>
        <v>金盆岭街道</v>
      </c>
      <c r="D809" s="3" t="str">
        <f>"天剑社区"</f>
        <v>天剑社区</v>
      </c>
      <c r="E809" s="3" t="str">
        <f t="shared" si="318"/>
        <v>140</v>
      </c>
      <c r="F809" s="3" t="str">
        <f t="shared" si="331"/>
        <v>100</v>
      </c>
      <c r="G809" s="3" t="str">
        <f t="shared" si="332"/>
        <v>二级</v>
      </c>
    </row>
    <row r="810" customHeight="1" spans="1:7">
      <c r="A810" s="3" t="str">
        <f>"3209"</f>
        <v>3209</v>
      </c>
      <c r="B810" s="3" t="s">
        <v>139</v>
      </c>
      <c r="C810" s="3" t="str">
        <f t="shared" si="333"/>
        <v>坡子街街道</v>
      </c>
      <c r="D810" s="3" t="str">
        <f>"坡子街社区"</f>
        <v>坡子街社区</v>
      </c>
      <c r="E810" s="3" t="str">
        <f t="shared" si="318"/>
        <v>140</v>
      </c>
      <c r="F810" s="3" t="str">
        <f t="shared" si="331"/>
        <v>100</v>
      </c>
      <c r="G810" s="3" t="str">
        <f t="shared" si="332"/>
        <v>二级</v>
      </c>
    </row>
    <row r="811" customHeight="1" spans="1:7">
      <c r="A811" s="3" t="str">
        <f>"3210"</f>
        <v>3210</v>
      </c>
      <c r="B811" s="3" t="s">
        <v>2140</v>
      </c>
      <c r="C811" s="3" t="str">
        <f t="shared" si="333"/>
        <v>坡子街街道</v>
      </c>
      <c r="D811" s="3" t="str">
        <f>"坡子街社区"</f>
        <v>坡子街社区</v>
      </c>
      <c r="E811" s="3" t="str">
        <f t="shared" si="318"/>
        <v>140</v>
      </c>
      <c r="F811" s="3" t="str">
        <f t="shared" si="331"/>
        <v>100</v>
      </c>
      <c r="G811" s="3" t="str">
        <f t="shared" si="334"/>
        <v>一级</v>
      </c>
    </row>
    <row r="812" customHeight="1" spans="1:7">
      <c r="A812" s="3" t="str">
        <f>"3211"</f>
        <v>3211</v>
      </c>
      <c r="B812" s="3" t="s">
        <v>243</v>
      </c>
      <c r="C812" s="3" t="str">
        <f>"赤岭路街道"</f>
        <v>赤岭路街道</v>
      </c>
      <c r="D812" s="3" t="str">
        <f>"猴子石社区"</f>
        <v>猴子石社区</v>
      </c>
      <c r="E812" s="3" t="str">
        <f t="shared" si="318"/>
        <v>140</v>
      </c>
      <c r="F812" s="3" t="str">
        <f>"0"</f>
        <v>0</v>
      </c>
      <c r="G812" s="3" t="str">
        <f>"三级"</f>
        <v>三级</v>
      </c>
    </row>
    <row r="813" customHeight="1" spans="1:7">
      <c r="A813" s="3" t="str">
        <f>"3212"</f>
        <v>3212</v>
      </c>
      <c r="B813" s="3" t="s">
        <v>2141</v>
      </c>
      <c r="C813" s="3" t="str">
        <f>"新开铺街道"</f>
        <v>新开铺街道</v>
      </c>
      <c r="D813" s="3" t="str">
        <f>"桥头社区"</f>
        <v>桥头社区</v>
      </c>
      <c r="E813" s="3" t="str">
        <f t="shared" si="318"/>
        <v>140</v>
      </c>
      <c r="F813" s="3" t="str">
        <f t="shared" ref="F813:F823" si="335">"100"</f>
        <v>100</v>
      </c>
      <c r="G813" s="3" t="str">
        <f t="shared" ref="G813:G816" si="336">"一级"</f>
        <v>一级</v>
      </c>
    </row>
    <row r="814" customHeight="1" spans="1:7">
      <c r="A814" s="3" t="str">
        <f>"3213"</f>
        <v>3213</v>
      </c>
      <c r="B814" s="3" t="s">
        <v>2142</v>
      </c>
      <c r="C814" s="3" t="str">
        <f>"城南路街道"</f>
        <v>城南路街道</v>
      </c>
      <c r="D814" s="3" t="str">
        <f>"天心阁社区"</f>
        <v>天心阁社区</v>
      </c>
      <c r="E814" s="3" t="str">
        <f t="shared" si="318"/>
        <v>140</v>
      </c>
      <c r="F814" s="3" t="str">
        <f t="shared" si="335"/>
        <v>100</v>
      </c>
      <c r="G814" s="3" t="str">
        <f t="shared" si="336"/>
        <v>一级</v>
      </c>
    </row>
    <row r="815" customHeight="1" spans="1:7">
      <c r="A815" s="3" t="str">
        <f>"3214"</f>
        <v>3214</v>
      </c>
      <c r="B815" s="3" t="s">
        <v>76</v>
      </c>
      <c r="C815" s="3" t="str">
        <f>"新开铺街道"</f>
        <v>新开铺街道</v>
      </c>
      <c r="D815" s="3" t="str">
        <f>"新开铺社区"</f>
        <v>新开铺社区</v>
      </c>
      <c r="E815" s="3" t="str">
        <f t="shared" si="318"/>
        <v>140</v>
      </c>
      <c r="F815" s="3" t="str">
        <f t="shared" si="335"/>
        <v>100</v>
      </c>
      <c r="G815" s="3" t="str">
        <f t="shared" si="336"/>
        <v>一级</v>
      </c>
    </row>
    <row r="816" customHeight="1" spans="1:7">
      <c r="A816" s="3" t="str">
        <f>"3215"</f>
        <v>3215</v>
      </c>
      <c r="B816" s="3" t="s">
        <v>2143</v>
      </c>
      <c r="C816" s="3" t="str">
        <f>"赤岭路街道"</f>
        <v>赤岭路街道</v>
      </c>
      <c r="D816" s="3" t="str">
        <f>"新丰社区"</f>
        <v>新丰社区</v>
      </c>
      <c r="E816" s="3" t="str">
        <f t="shared" si="318"/>
        <v>140</v>
      </c>
      <c r="F816" s="3" t="str">
        <f t="shared" si="335"/>
        <v>100</v>
      </c>
      <c r="G816" s="3" t="str">
        <f t="shared" si="336"/>
        <v>一级</v>
      </c>
    </row>
    <row r="817" customHeight="1" spans="1:7">
      <c r="A817" s="3" t="str">
        <f>"3216"</f>
        <v>3216</v>
      </c>
      <c r="B817" s="3" t="s">
        <v>146</v>
      </c>
      <c r="C817" s="3" t="str">
        <f>"暮云街道"</f>
        <v>暮云街道</v>
      </c>
      <c r="D817" s="3" t="str">
        <f>"暮云社区"</f>
        <v>暮云社区</v>
      </c>
      <c r="E817" s="3" t="str">
        <f t="shared" si="318"/>
        <v>140</v>
      </c>
      <c r="F817" s="3" t="str">
        <f t="shared" si="335"/>
        <v>100</v>
      </c>
      <c r="G817" s="3" t="str">
        <f t="shared" ref="G817:G823" si="337">"二级"</f>
        <v>二级</v>
      </c>
    </row>
    <row r="818" customHeight="1" spans="1:7">
      <c r="A818" s="3" t="str">
        <f>"3217"</f>
        <v>3217</v>
      </c>
      <c r="B818" s="3" t="s">
        <v>2144</v>
      </c>
      <c r="C818" s="3" t="str">
        <f>"大托铺街道"</f>
        <v>大托铺街道</v>
      </c>
      <c r="D818" s="3" t="str">
        <f>"兴隆村委会"</f>
        <v>兴隆村委会</v>
      </c>
      <c r="E818" s="3" t="str">
        <f t="shared" si="318"/>
        <v>140</v>
      </c>
      <c r="F818" s="3" t="str">
        <f t="shared" si="335"/>
        <v>100</v>
      </c>
      <c r="G818" s="3" t="str">
        <f t="shared" si="337"/>
        <v>二级</v>
      </c>
    </row>
    <row r="819" customHeight="1" spans="1:7">
      <c r="A819" s="3" t="str">
        <f>"3218"</f>
        <v>3218</v>
      </c>
      <c r="B819" s="3" t="s">
        <v>2145</v>
      </c>
      <c r="C819" s="3" t="str">
        <f>"新开铺街道"</f>
        <v>新开铺街道</v>
      </c>
      <c r="D819" s="3" t="str">
        <f>"新开铺社区"</f>
        <v>新开铺社区</v>
      </c>
      <c r="E819" s="3" t="str">
        <f t="shared" si="318"/>
        <v>140</v>
      </c>
      <c r="F819" s="3" t="str">
        <f t="shared" si="335"/>
        <v>100</v>
      </c>
      <c r="G819" s="3" t="str">
        <f t="shared" si="337"/>
        <v>二级</v>
      </c>
    </row>
    <row r="820" customHeight="1" spans="1:7">
      <c r="A820" s="3" t="str">
        <f>"3219"</f>
        <v>3219</v>
      </c>
      <c r="B820" s="3" t="s">
        <v>410</v>
      </c>
      <c r="C820" s="3" t="str">
        <f>"南托街道"</f>
        <v>南托街道</v>
      </c>
      <c r="D820" s="3" t="str">
        <f>"牛角塘村"</f>
        <v>牛角塘村</v>
      </c>
      <c r="E820" s="3" t="str">
        <f t="shared" si="318"/>
        <v>140</v>
      </c>
      <c r="F820" s="3" t="str">
        <f t="shared" si="335"/>
        <v>100</v>
      </c>
      <c r="G820" s="3" t="str">
        <f t="shared" si="337"/>
        <v>二级</v>
      </c>
    </row>
    <row r="821" customHeight="1" spans="1:7">
      <c r="A821" s="3" t="str">
        <f>"3220"</f>
        <v>3220</v>
      </c>
      <c r="B821" s="3" t="s">
        <v>2146</v>
      </c>
      <c r="C821" s="3" t="str">
        <f>"坡子街街道"</f>
        <v>坡子街街道</v>
      </c>
      <c r="D821" s="3" t="str">
        <f>"坡子街社区"</f>
        <v>坡子街社区</v>
      </c>
      <c r="E821" s="3" t="str">
        <f t="shared" si="318"/>
        <v>140</v>
      </c>
      <c r="F821" s="3" t="str">
        <f t="shared" si="335"/>
        <v>100</v>
      </c>
      <c r="G821" s="3" t="str">
        <f t="shared" si="337"/>
        <v>二级</v>
      </c>
    </row>
    <row r="822" customHeight="1" spans="1:7">
      <c r="A822" s="3" t="str">
        <f>"3221"</f>
        <v>3221</v>
      </c>
      <c r="B822" s="3" t="s">
        <v>2147</v>
      </c>
      <c r="C822" s="3" t="str">
        <f t="shared" ref="C822:C826" si="338">"赤岭路街道"</f>
        <v>赤岭路街道</v>
      </c>
      <c r="D822" s="3" t="str">
        <f>"猴子石社区"</f>
        <v>猴子石社区</v>
      </c>
      <c r="E822" s="3" t="str">
        <f t="shared" si="318"/>
        <v>140</v>
      </c>
      <c r="F822" s="3" t="str">
        <f t="shared" si="335"/>
        <v>100</v>
      </c>
      <c r="G822" s="3" t="str">
        <f t="shared" si="337"/>
        <v>二级</v>
      </c>
    </row>
    <row r="823" customHeight="1" spans="1:7">
      <c r="A823" s="3" t="str">
        <f>"3222"</f>
        <v>3222</v>
      </c>
      <c r="B823" s="3" t="s">
        <v>2148</v>
      </c>
      <c r="C823" s="3" t="str">
        <f>"南托街道"</f>
        <v>南托街道</v>
      </c>
      <c r="D823" s="3" t="str">
        <f>"融城社区"</f>
        <v>融城社区</v>
      </c>
      <c r="E823" s="3" t="str">
        <f t="shared" si="318"/>
        <v>140</v>
      </c>
      <c r="F823" s="3" t="str">
        <f t="shared" si="335"/>
        <v>100</v>
      </c>
      <c r="G823" s="3" t="str">
        <f t="shared" si="337"/>
        <v>二级</v>
      </c>
    </row>
    <row r="824" customHeight="1" spans="1:7">
      <c r="A824" s="3" t="str">
        <f>"3223"</f>
        <v>3223</v>
      </c>
      <c r="B824" s="3" t="s">
        <v>1687</v>
      </c>
      <c r="C824" s="3" t="str">
        <f>"暮云街道"</f>
        <v>暮云街道</v>
      </c>
      <c r="D824" s="3" t="str">
        <f>"许兴村"</f>
        <v>许兴村</v>
      </c>
      <c r="E824" s="3" t="str">
        <f t="shared" si="318"/>
        <v>140</v>
      </c>
      <c r="F824" s="3" t="str">
        <f>"0"</f>
        <v>0</v>
      </c>
      <c r="G824" s="3" t="str">
        <f>"三级"</f>
        <v>三级</v>
      </c>
    </row>
    <row r="825" customHeight="1" spans="1:7">
      <c r="A825" s="3" t="str">
        <f>"3224"</f>
        <v>3224</v>
      </c>
      <c r="B825" s="3" t="s">
        <v>2149</v>
      </c>
      <c r="C825" s="3" t="str">
        <f t="shared" si="338"/>
        <v>赤岭路街道</v>
      </c>
      <c r="D825" s="3" t="str">
        <f>"白沙花园社区"</f>
        <v>白沙花园社区</v>
      </c>
      <c r="E825" s="3" t="str">
        <f t="shared" si="318"/>
        <v>140</v>
      </c>
      <c r="F825" s="3" t="str">
        <f t="shared" ref="F825:F834" si="339">"100"</f>
        <v>100</v>
      </c>
      <c r="G825" s="3" t="str">
        <f t="shared" ref="G825:G827" si="340">"二级"</f>
        <v>二级</v>
      </c>
    </row>
    <row r="826" customHeight="1" spans="1:7">
      <c r="A826" s="3" t="str">
        <f>"3225"</f>
        <v>3225</v>
      </c>
      <c r="B826" s="3" t="s">
        <v>2150</v>
      </c>
      <c r="C826" s="3" t="str">
        <f t="shared" si="338"/>
        <v>赤岭路街道</v>
      </c>
      <c r="D826" s="3" t="str">
        <f>"白沙花园社区"</f>
        <v>白沙花园社区</v>
      </c>
      <c r="E826" s="3" t="str">
        <f t="shared" si="318"/>
        <v>140</v>
      </c>
      <c r="F826" s="3" t="str">
        <f t="shared" si="339"/>
        <v>100</v>
      </c>
      <c r="G826" s="3" t="str">
        <f t="shared" si="340"/>
        <v>二级</v>
      </c>
    </row>
    <row r="827" customHeight="1" spans="1:7">
      <c r="A827" s="3" t="str">
        <f>"3226"</f>
        <v>3226</v>
      </c>
      <c r="B827" s="3" t="s">
        <v>68</v>
      </c>
      <c r="C827" s="3" t="str">
        <f t="shared" ref="C827:C832" si="341">"坡子街街道"</f>
        <v>坡子街街道</v>
      </c>
      <c r="D827" s="3" t="str">
        <f>"西湖社区"</f>
        <v>西湖社区</v>
      </c>
      <c r="E827" s="3" t="str">
        <f t="shared" si="318"/>
        <v>140</v>
      </c>
      <c r="F827" s="3" t="str">
        <f t="shared" si="339"/>
        <v>100</v>
      </c>
      <c r="G827" s="3" t="str">
        <f t="shared" si="340"/>
        <v>二级</v>
      </c>
    </row>
    <row r="828" customHeight="1" spans="1:7">
      <c r="A828" s="3" t="str">
        <f>"3227"</f>
        <v>3227</v>
      </c>
      <c r="B828" s="3" t="s">
        <v>2151</v>
      </c>
      <c r="C828" s="3" t="str">
        <f t="shared" si="341"/>
        <v>坡子街街道</v>
      </c>
      <c r="D828" s="3" t="str">
        <f>"文庙坪社区"</f>
        <v>文庙坪社区</v>
      </c>
      <c r="E828" s="3" t="str">
        <f t="shared" si="318"/>
        <v>140</v>
      </c>
      <c r="F828" s="3" t="str">
        <f t="shared" si="339"/>
        <v>100</v>
      </c>
      <c r="G828" s="3" t="str">
        <f t="shared" ref="G828:G833" si="342">"一级"</f>
        <v>一级</v>
      </c>
    </row>
    <row r="829" customHeight="1" spans="1:7">
      <c r="A829" s="3" t="str">
        <f>"3228"</f>
        <v>3228</v>
      </c>
      <c r="B829" s="3" t="s">
        <v>1148</v>
      </c>
      <c r="C829" s="3" t="str">
        <f>"暮云街道"</f>
        <v>暮云街道</v>
      </c>
      <c r="D829" s="3" t="str">
        <f>"弘高社区"</f>
        <v>弘高社区</v>
      </c>
      <c r="E829" s="3" t="str">
        <f t="shared" si="318"/>
        <v>140</v>
      </c>
      <c r="F829" s="3" t="str">
        <f t="shared" si="339"/>
        <v>100</v>
      </c>
      <c r="G829" s="3" t="str">
        <f t="shared" ref="G829:G834" si="343">"二级"</f>
        <v>二级</v>
      </c>
    </row>
    <row r="830" customHeight="1" spans="1:7">
      <c r="A830" s="3" t="str">
        <f>"3229"</f>
        <v>3229</v>
      </c>
      <c r="B830" s="3" t="s">
        <v>2047</v>
      </c>
      <c r="C830" s="3" t="str">
        <f>"新开铺街道"</f>
        <v>新开铺街道</v>
      </c>
      <c r="D830" s="3" t="str">
        <f>"新开铺社区"</f>
        <v>新开铺社区</v>
      </c>
      <c r="E830" s="3" t="str">
        <f t="shared" si="318"/>
        <v>140</v>
      </c>
      <c r="F830" s="3" t="str">
        <f t="shared" si="339"/>
        <v>100</v>
      </c>
      <c r="G830" s="3" t="str">
        <f t="shared" si="343"/>
        <v>二级</v>
      </c>
    </row>
    <row r="831" customHeight="1" spans="1:7">
      <c r="A831" s="3" t="str">
        <f>"3230"</f>
        <v>3230</v>
      </c>
      <c r="B831" s="3" t="s">
        <v>2152</v>
      </c>
      <c r="C831" s="3" t="str">
        <f t="shared" si="341"/>
        <v>坡子街街道</v>
      </c>
      <c r="D831" s="3" t="str">
        <f>"登仁桥社区"</f>
        <v>登仁桥社区</v>
      </c>
      <c r="E831" s="3" t="str">
        <f t="shared" si="318"/>
        <v>140</v>
      </c>
      <c r="F831" s="3" t="str">
        <f t="shared" si="339"/>
        <v>100</v>
      </c>
      <c r="G831" s="3" t="str">
        <f t="shared" si="342"/>
        <v>一级</v>
      </c>
    </row>
    <row r="832" customHeight="1" spans="1:7">
      <c r="A832" s="3" t="str">
        <f>"3231"</f>
        <v>3231</v>
      </c>
      <c r="B832" s="3" t="s">
        <v>1945</v>
      </c>
      <c r="C832" s="3" t="str">
        <f t="shared" si="341"/>
        <v>坡子街街道</v>
      </c>
      <c r="D832" s="3" t="str">
        <f>"登仁桥社区"</f>
        <v>登仁桥社区</v>
      </c>
      <c r="E832" s="3" t="str">
        <f t="shared" si="318"/>
        <v>140</v>
      </c>
      <c r="F832" s="3" t="str">
        <f t="shared" si="339"/>
        <v>100</v>
      </c>
      <c r="G832" s="3" t="str">
        <f t="shared" si="342"/>
        <v>一级</v>
      </c>
    </row>
    <row r="833" customHeight="1" spans="1:7">
      <c r="A833" s="3" t="str">
        <f>"3232"</f>
        <v>3232</v>
      </c>
      <c r="B833" s="3" t="s">
        <v>615</v>
      </c>
      <c r="C833" s="3" t="str">
        <f>"裕南街街道"</f>
        <v>裕南街街道</v>
      </c>
      <c r="D833" s="3" t="str">
        <f>"长坡社区"</f>
        <v>长坡社区</v>
      </c>
      <c r="E833" s="3" t="str">
        <f t="shared" si="318"/>
        <v>140</v>
      </c>
      <c r="F833" s="3" t="str">
        <f t="shared" si="339"/>
        <v>100</v>
      </c>
      <c r="G833" s="3" t="str">
        <f t="shared" si="342"/>
        <v>一级</v>
      </c>
    </row>
    <row r="834" customHeight="1" spans="1:7">
      <c r="A834" s="3" t="str">
        <f>"3233"</f>
        <v>3233</v>
      </c>
      <c r="B834" s="3" t="s">
        <v>2153</v>
      </c>
      <c r="C834" s="3" t="str">
        <f>"金盆岭街道"</f>
        <v>金盆岭街道</v>
      </c>
      <c r="D834" s="3" t="str">
        <f>"涂新社区"</f>
        <v>涂新社区</v>
      </c>
      <c r="E834" s="3" t="str">
        <f t="shared" ref="E834:E897" si="344">"140"</f>
        <v>140</v>
      </c>
      <c r="F834" s="3" t="str">
        <f t="shared" si="339"/>
        <v>100</v>
      </c>
      <c r="G834" s="3" t="str">
        <f t="shared" si="343"/>
        <v>二级</v>
      </c>
    </row>
    <row r="835" customHeight="1" spans="1:7">
      <c r="A835" s="3" t="str">
        <f>"3234"</f>
        <v>3234</v>
      </c>
      <c r="B835" s="3" t="s">
        <v>2154</v>
      </c>
      <c r="C835" s="3" t="str">
        <f>"大托铺街道"</f>
        <v>大托铺街道</v>
      </c>
      <c r="D835" s="3" t="str">
        <f>"兴隆村委会"</f>
        <v>兴隆村委会</v>
      </c>
      <c r="E835" s="3" t="str">
        <f t="shared" si="344"/>
        <v>140</v>
      </c>
      <c r="F835" s="3" t="str">
        <f>"0"</f>
        <v>0</v>
      </c>
      <c r="G835" s="3" t="str">
        <f>"四级"</f>
        <v>四级</v>
      </c>
    </row>
    <row r="836" customHeight="1" spans="1:7">
      <c r="A836" s="3" t="str">
        <f>"3235"</f>
        <v>3235</v>
      </c>
      <c r="B836" s="3" t="s">
        <v>2155</v>
      </c>
      <c r="C836" s="3" t="str">
        <f>"黑石铺街道"</f>
        <v>黑石铺街道</v>
      </c>
      <c r="D836" s="3" t="str">
        <f>"黑石铺社区"</f>
        <v>黑石铺社区</v>
      </c>
      <c r="E836" s="3" t="str">
        <f t="shared" si="344"/>
        <v>140</v>
      </c>
      <c r="F836" s="3" t="str">
        <f t="shared" ref="F836:F853" si="345">"100"</f>
        <v>100</v>
      </c>
      <c r="G836" s="3" t="str">
        <f t="shared" ref="G836:G839" si="346">"二级"</f>
        <v>二级</v>
      </c>
    </row>
    <row r="837" customHeight="1" spans="1:7">
      <c r="A837" s="3" t="str">
        <f>"3236"</f>
        <v>3236</v>
      </c>
      <c r="B837" s="3" t="s">
        <v>2156</v>
      </c>
      <c r="C837" s="3" t="str">
        <f>"先锋街道"</f>
        <v>先锋街道</v>
      </c>
      <c r="D837" s="3" t="str">
        <f>"嘉和社区"</f>
        <v>嘉和社区</v>
      </c>
      <c r="E837" s="3" t="str">
        <f t="shared" si="344"/>
        <v>140</v>
      </c>
      <c r="F837" s="3" t="str">
        <f t="shared" si="345"/>
        <v>100</v>
      </c>
      <c r="G837" s="3" t="str">
        <f t="shared" si="346"/>
        <v>二级</v>
      </c>
    </row>
    <row r="838" customHeight="1" spans="1:7">
      <c r="A838" s="3" t="str">
        <f>"3237"</f>
        <v>3237</v>
      </c>
      <c r="B838" s="3" t="s">
        <v>70</v>
      </c>
      <c r="C838" s="3" t="str">
        <f t="shared" ref="C838:C843" si="347">"裕南街街道"</f>
        <v>裕南街街道</v>
      </c>
      <c r="D838" s="3" t="str">
        <f>"宝塔山社区"</f>
        <v>宝塔山社区</v>
      </c>
      <c r="E838" s="3" t="str">
        <f t="shared" si="344"/>
        <v>140</v>
      </c>
      <c r="F838" s="3" t="str">
        <f t="shared" si="345"/>
        <v>100</v>
      </c>
      <c r="G838" s="3" t="str">
        <f t="shared" ref="G838:G841" si="348">"一级"</f>
        <v>一级</v>
      </c>
    </row>
    <row r="839" customHeight="1" spans="1:7">
      <c r="A839" s="3" t="str">
        <f>"3238"</f>
        <v>3238</v>
      </c>
      <c r="B839" s="3" t="s">
        <v>2157</v>
      </c>
      <c r="C839" s="3" t="str">
        <f t="shared" si="347"/>
        <v>裕南街街道</v>
      </c>
      <c r="D839" s="3" t="str">
        <f>"长坡社区"</f>
        <v>长坡社区</v>
      </c>
      <c r="E839" s="3" t="str">
        <f t="shared" si="344"/>
        <v>140</v>
      </c>
      <c r="F839" s="3" t="str">
        <f t="shared" si="345"/>
        <v>100</v>
      </c>
      <c r="G839" s="3" t="str">
        <f t="shared" si="346"/>
        <v>二级</v>
      </c>
    </row>
    <row r="840" customHeight="1" spans="1:7">
      <c r="A840" s="3" t="str">
        <f>"3239"</f>
        <v>3239</v>
      </c>
      <c r="B840" s="3" t="s">
        <v>2158</v>
      </c>
      <c r="C840" s="3" t="str">
        <f>"暮云街道"</f>
        <v>暮云街道</v>
      </c>
      <c r="D840" s="3" t="str">
        <f>"高云社区"</f>
        <v>高云社区</v>
      </c>
      <c r="E840" s="3" t="str">
        <f t="shared" si="344"/>
        <v>140</v>
      </c>
      <c r="F840" s="3" t="str">
        <f t="shared" si="345"/>
        <v>100</v>
      </c>
      <c r="G840" s="3" t="str">
        <f t="shared" si="348"/>
        <v>一级</v>
      </c>
    </row>
    <row r="841" customHeight="1" spans="1:7">
      <c r="A841" s="3" t="str">
        <f>"3240"</f>
        <v>3240</v>
      </c>
      <c r="B841" s="3" t="s">
        <v>1803</v>
      </c>
      <c r="C841" s="3" t="str">
        <f>"黑石铺街道"</f>
        <v>黑石铺街道</v>
      </c>
      <c r="D841" s="3" t="str">
        <f>"铭安社区"</f>
        <v>铭安社区</v>
      </c>
      <c r="E841" s="3" t="str">
        <f t="shared" si="344"/>
        <v>140</v>
      </c>
      <c r="F841" s="3" t="str">
        <f t="shared" si="345"/>
        <v>100</v>
      </c>
      <c r="G841" s="3" t="str">
        <f t="shared" si="348"/>
        <v>一级</v>
      </c>
    </row>
    <row r="842" customHeight="1" spans="1:7">
      <c r="A842" s="3" t="str">
        <f>"3241"</f>
        <v>3241</v>
      </c>
      <c r="B842" s="3" t="s">
        <v>2159</v>
      </c>
      <c r="C842" s="3" t="str">
        <f>"坡子街街道"</f>
        <v>坡子街街道</v>
      </c>
      <c r="D842" s="3" t="str">
        <f>"创远社区"</f>
        <v>创远社区</v>
      </c>
      <c r="E842" s="3" t="str">
        <f t="shared" si="344"/>
        <v>140</v>
      </c>
      <c r="F842" s="3" t="str">
        <f t="shared" si="345"/>
        <v>100</v>
      </c>
      <c r="G842" s="3" t="str">
        <f t="shared" ref="G842:G845" si="349">"二级"</f>
        <v>二级</v>
      </c>
    </row>
    <row r="843" customHeight="1" spans="1:7">
      <c r="A843" s="3" t="str">
        <f>"3242"</f>
        <v>3242</v>
      </c>
      <c r="B843" s="3" t="s">
        <v>76</v>
      </c>
      <c r="C843" s="3" t="str">
        <f t="shared" si="347"/>
        <v>裕南街街道</v>
      </c>
      <c r="D843" s="3" t="str">
        <f>"裕南街社区"</f>
        <v>裕南街社区</v>
      </c>
      <c r="E843" s="3" t="str">
        <f t="shared" si="344"/>
        <v>140</v>
      </c>
      <c r="F843" s="3" t="str">
        <f t="shared" si="345"/>
        <v>100</v>
      </c>
      <c r="G843" s="3" t="str">
        <f t="shared" si="349"/>
        <v>二级</v>
      </c>
    </row>
    <row r="844" customHeight="1" spans="1:7">
      <c r="A844" s="3" t="str">
        <f>"3243"</f>
        <v>3243</v>
      </c>
      <c r="B844" s="3" t="s">
        <v>2160</v>
      </c>
      <c r="C844" s="3" t="str">
        <f>"暮云街道"</f>
        <v>暮云街道</v>
      </c>
      <c r="D844" s="3" t="str">
        <f>"云塘社区"</f>
        <v>云塘社区</v>
      </c>
      <c r="E844" s="3" t="str">
        <f t="shared" si="344"/>
        <v>140</v>
      </c>
      <c r="F844" s="3" t="str">
        <f t="shared" si="345"/>
        <v>100</v>
      </c>
      <c r="G844" s="3" t="str">
        <f t="shared" si="349"/>
        <v>二级</v>
      </c>
    </row>
    <row r="845" customHeight="1" spans="1:7">
      <c r="A845" s="3" t="str">
        <f>"3244"</f>
        <v>3244</v>
      </c>
      <c r="B845" s="3" t="s">
        <v>2161</v>
      </c>
      <c r="C845" s="3" t="str">
        <f>"桂花坪街道"</f>
        <v>桂花坪街道</v>
      </c>
      <c r="D845" s="3" t="str">
        <f>"金桂社区"</f>
        <v>金桂社区</v>
      </c>
      <c r="E845" s="3" t="str">
        <f t="shared" si="344"/>
        <v>140</v>
      </c>
      <c r="F845" s="3" t="str">
        <f t="shared" si="345"/>
        <v>100</v>
      </c>
      <c r="G845" s="3" t="str">
        <f t="shared" si="349"/>
        <v>二级</v>
      </c>
    </row>
    <row r="846" customHeight="1" spans="1:7">
      <c r="A846" s="3" t="str">
        <f>"3245"</f>
        <v>3245</v>
      </c>
      <c r="B846" s="3" t="s">
        <v>266</v>
      </c>
      <c r="C846" s="3" t="str">
        <f>"黑石铺街道"</f>
        <v>黑石铺街道</v>
      </c>
      <c r="D846" s="3" t="str">
        <f>"黑石铺社区"</f>
        <v>黑石铺社区</v>
      </c>
      <c r="E846" s="3" t="str">
        <f t="shared" si="344"/>
        <v>140</v>
      </c>
      <c r="F846" s="3" t="str">
        <f t="shared" si="345"/>
        <v>100</v>
      </c>
      <c r="G846" s="3" t="str">
        <f>"一级"</f>
        <v>一级</v>
      </c>
    </row>
    <row r="847" customHeight="1" spans="1:7">
      <c r="A847" s="3" t="str">
        <f>"3246"</f>
        <v>3246</v>
      </c>
      <c r="B847" s="3" t="s">
        <v>2162</v>
      </c>
      <c r="C847" s="3" t="str">
        <f>"裕南街街道"</f>
        <v>裕南街街道</v>
      </c>
      <c r="D847" s="3" t="str">
        <f>"向东南社区"</f>
        <v>向东南社区</v>
      </c>
      <c r="E847" s="3" t="str">
        <f t="shared" si="344"/>
        <v>140</v>
      </c>
      <c r="F847" s="3" t="str">
        <f t="shared" si="345"/>
        <v>100</v>
      </c>
      <c r="G847" s="3" t="str">
        <f t="shared" ref="G847:G851" si="350">"二级"</f>
        <v>二级</v>
      </c>
    </row>
    <row r="848" customHeight="1" spans="1:7">
      <c r="A848" s="3" t="str">
        <f>"3247"</f>
        <v>3247</v>
      </c>
      <c r="B848" s="3" t="s">
        <v>2163</v>
      </c>
      <c r="C848" s="3" t="str">
        <f t="shared" ref="C848:C851" si="351">"坡子街街道"</f>
        <v>坡子街街道</v>
      </c>
      <c r="D848" s="3" t="str">
        <f>"碧湘社区"</f>
        <v>碧湘社区</v>
      </c>
      <c r="E848" s="3" t="str">
        <f t="shared" si="344"/>
        <v>140</v>
      </c>
      <c r="F848" s="3" t="str">
        <f t="shared" si="345"/>
        <v>100</v>
      </c>
      <c r="G848" s="3" t="str">
        <f t="shared" si="350"/>
        <v>二级</v>
      </c>
    </row>
    <row r="849" customHeight="1" spans="1:7">
      <c r="A849" s="3" t="str">
        <f>"3248"</f>
        <v>3248</v>
      </c>
      <c r="B849" s="3" t="s">
        <v>2164</v>
      </c>
      <c r="C849" s="3" t="str">
        <f>"裕南街街道"</f>
        <v>裕南街街道</v>
      </c>
      <c r="D849" s="3" t="str">
        <f>"石子冲社区"</f>
        <v>石子冲社区</v>
      </c>
      <c r="E849" s="3" t="str">
        <f t="shared" si="344"/>
        <v>140</v>
      </c>
      <c r="F849" s="3" t="str">
        <f t="shared" si="345"/>
        <v>100</v>
      </c>
      <c r="G849" s="3" t="str">
        <f t="shared" si="350"/>
        <v>二级</v>
      </c>
    </row>
    <row r="850" customHeight="1" spans="1:7">
      <c r="A850" s="3" t="str">
        <f>"3249"</f>
        <v>3249</v>
      </c>
      <c r="B850" s="3" t="s">
        <v>2165</v>
      </c>
      <c r="C850" s="3" t="str">
        <f t="shared" si="351"/>
        <v>坡子街街道</v>
      </c>
      <c r="D850" s="3" t="str">
        <f>"西湖社区"</f>
        <v>西湖社区</v>
      </c>
      <c r="E850" s="3" t="str">
        <f t="shared" si="344"/>
        <v>140</v>
      </c>
      <c r="F850" s="3" t="str">
        <f t="shared" si="345"/>
        <v>100</v>
      </c>
      <c r="G850" s="3" t="str">
        <f t="shared" si="350"/>
        <v>二级</v>
      </c>
    </row>
    <row r="851" customHeight="1" spans="1:7">
      <c r="A851" s="3" t="str">
        <f>"3250"</f>
        <v>3250</v>
      </c>
      <c r="B851" s="3" t="s">
        <v>2166</v>
      </c>
      <c r="C851" s="3" t="str">
        <f t="shared" si="351"/>
        <v>坡子街街道</v>
      </c>
      <c r="D851" s="3" t="str">
        <f>"太平街社区"</f>
        <v>太平街社区</v>
      </c>
      <c r="E851" s="3" t="str">
        <f t="shared" si="344"/>
        <v>140</v>
      </c>
      <c r="F851" s="3" t="str">
        <f t="shared" si="345"/>
        <v>100</v>
      </c>
      <c r="G851" s="3" t="str">
        <f t="shared" si="350"/>
        <v>二级</v>
      </c>
    </row>
    <row r="852" customHeight="1" spans="1:7">
      <c r="A852" s="3" t="str">
        <f>"3251"</f>
        <v>3251</v>
      </c>
      <c r="B852" s="3" t="s">
        <v>2167</v>
      </c>
      <c r="C852" s="3" t="str">
        <f>"新开铺街道"</f>
        <v>新开铺街道</v>
      </c>
      <c r="D852" s="3" t="str">
        <f>"新开铺社区"</f>
        <v>新开铺社区</v>
      </c>
      <c r="E852" s="3" t="str">
        <f t="shared" si="344"/>
        <v>140</v>
      </c>
      <c r="F852" s="3" t="str">
        <f t="shared" si="345"/>
        <v>100</v>
      </c>
      <c r="G852" s="3" t="str">
        <f>"一级"</f>
        <v>一级</v>
      </c>
    </row>
    <row r="853" customHeight="1" spans="1:7">
      <c r="A853" s="3" t="str">
        <f>"3252"</f>
        <v>3252</v>
      </c>
      <c r="B853" s="3" t="s">
        <v>2168</v>
      </c>
      <c r="C853" s="3" t="str">
        <f t="shared" ref="C853:C859" si="352">"南托街道"</f>
        <v>南托街道</v>
      </c>
      <c r="D853" s="3" t="str">
        <f>"融城社区"</f>
        <v>融城社区</v>
      </c>
      <c r="E853" s="3" t="str">
        <f t="shared" si="344"/>
        <v>140</v>
      </c>
      <c r="F853" s="3" t="str">
        <f t="shared" si="345"/>
        <v>100</v>
      </c>
      <c r="G853" s="3" t="str">
        <f t="shared" ref="G853:G866" si="353">"二级"</f>
        <v>二级</v>
      </c>
    </row>
    <row r="854" customHeight="1" spans="1:7">
      <c r="A854" s="3" t="str">
        <f>"3253"</f>
        <v>3253</v>
      </c>
      <c r="B854" s="3" t="s">
        <v>195</v>
      </c>
      <c r="C854" s="3" t="str">
        <f t="shared" ref="C854:C857" si="354">"大托铺街道"</f>
        <v>大托铺街道</v>
      </c>
      <c r="D854" s="3" t="str">
        <f>"大托村委会"</f>
        <v>大托村委会</v>
      </c>
      <c r="E854" s="3" t="str">
        <f t="shared" si="344"/>
        <v>140</v>
      </c>
      <c r="F854" s="3" t="str">
        <f>"0"</f>
        <v>0</v>
      </c>
      <c r="G854" s="3" t="str">
        <f>"三级"</f>
        <v>三级</v>
      </c>
    </row>
    <row r="855" customHeight="1" spans="1:7">
      <c r="A855" s="3" t="str">
        <f>"3254"</f>
        <v>3254</v>
      </c>
      <c r="B855" s="3" t="s">
        <v>553</v>
      </c>
      <c r="C855" s="3" t="str">
        <f t="shared" si="352"/>
        <v>南托街道</v>
      </c>
      <c r="D855" s="3" t="str">
        <f>"牛角塘村"</f>
        <v>牛角塘村</v>
      </c>
      <c r="E855" s="3" t="str">
        <f t="shared" si="344"/>
        <v>140</v>
      </c>
      <c r="F855" s="3" t="str">
        <f>"0"</f>
        <v>0</v>
      </c>
      <c r="G855" s="3" t="str">
        <f>"四级"</f>
        <v>四级</v>
      </c>
    </row>
    <row r="856" customHeight="1" spans="1:7">
      <c r="A856" s="3" t="str">
        <f>"3255"</f>
        <v>3255</v>
      </c>
      <c r="B856" s="3" t="s">
        <v>2169</v>
      </c>
      <c r="C856" s="3" t="str">
        <f t="shared" si="354"/>
        <v>大托铺街道</v>
      </c>
      <c r="D856" s="3" t="str">
        <f>"桂井村委会"</f>
        <v>桂井村委会</v>
      </c>
      <c r="E856" s="3" t="str">
        <f t="shared" si="344"/>
        <v>140</v>
      </c>
      <c r="F856" s="3" t="str">
        <f t="shared" ref="F856:F866" si="355">"100"</f>
        <v>100</v>
      </c>
      <c r="G856" s="3" t="str">
        <f t="shared" si="353"/>
        <v>二级</v>
      </c>
    </row>
    <row r="857" customHeight="1" spans="1:7">
      <c r="A857" s="3" t="str">
        <f>"3256"</f>
        <v>3256</v>
      </c>
      <c r="B857" s="3" t="s">
        <v>2170</v>
      </c>
      <c r="C857" s="3" t="str">
        <f t="shared" si="354"/>
        <v>大托铺街道</v>
      </c>
      <c r="D857" s="3" t="str">
        <f>"桂井村委会"</f>
        <v>桂井村委会</v>
      </c>
      <c r="E857" s="3" t="str">
        <f t="shared" si="344"/>
        <v>140</v>
      </c>
      <c r="F857" s="3" t="str">
        <f t="shared" si="355"/>
        <v>100</v>
      </c>
      <c r="G857" s="3" t="str">
        <f t="shared" si="353"/>
        <v>二级</v>
      </c>
    </row>
    <row r="858" customHeight="1" spans="1:7">
      <c r="A858" s="3" t="str">
        <f>"3257"</f>
        <v>3257</v>
      </c>
      <c r="B858" s="3" t="s">
        <v>2171</v>
      </c>
      <c r="C858" s="3" t="str">
        <f t="shared" si="352"/>
        <v>南托街道</v>
      </c>
      <c r="D858" s="3" t="str">
        <f>"融城社区"</f>
        <v>融城社区</v>
      </c>
      <c r="E858" s="3" t="str">
        <f t="shared" si="344"/>
        <v>140</v>
      </c>
      <c r="F858" s="3" t="str">
        <f t="shared" si="355"/>
        <v>100</v>
      </c>
      <c r="G858" s="3" t="str">
        <f t="shared" si="353"/>
        <v>二级</v>
      </c>
    </row>
    <row r="859" customHeight="1" spans="1:7">
      <c r="A859" s="3" t="str">
        <f>"3258"</f>
        <v>3258</v>
      </c>
      <c r="B859" s="3" t="s">
        <v>2172</v>
      </c>
      <c r="C859" s="3" t="str">
        <f t="shared" si="352"/>
        <v>南托街道</v>
      </c>
      <c r="D859" s="3" t="str">
        <f>"沿江村"</f>
        <v>沿江村</v>
      </c>
      <c r="E859" s="3" t="str">
        <f t="shared" si="344"/>
        <v>140</v>
      </c>
      <c r="F859" s="3" t="str">
        <f t="shared" si="355"/>
        <v>100</v>
      </c>
      <c r="G859" s="3" t="str">
        <f t="shared" si="353"/>
        <v>二级</v>
      </c>
    </row>
    <row r="860" customHeight="1" spans="1:7">
      <c r="A860" s="3" t="str">
        <f>"3259"</f>
        <v>3259</v>
      </c>
      <c r="B860" s="3" t="s">
        <v>1201</v>
      </c>
      <c r="C860" s="3" t="str">
        <f>"裕南街街道"</f>
        <v>裕南街街道</v>
      </c>
      <c r="D860" s="3" t="str">
        <f>"东瓜山社区"</f>
        <v>东瓜山社区</v>
      </c>
      <c r="E860" s="3" t="str">
        <f t="shared" si="344"/>
        <v>140</v>
      </c>
      <c r="F860" s="3" t="str">
        <f t="shared" si="355"/>
        <v>100</v>
      </c>
      <c r="G860" s="3" t="str">
        <f t="shared" si="353"/>
        <v>二级</v>
      </c>
    </row>
    <row r="861" customHeight="1" spans="1:7">
      <c r="A861" s="3" t="str">
        <f>"3260"</f>
        <v>3260</v>
      </c>
      <c r="B861" s="3" t="s">
        <v>2173</v>
      </c>
      <c r="C861" s="3" t="str">
        <f>"新开铺街道"</f>
        <v>新开铺街道</v>
      </c>
      <c r="D861" s="3" t="str">
        <f>"豹子岭社区"</f>
        <v>豹子岭社区</v>
      </c>
      <c r="E861" s="3" t="str">
        <f t="shared" si="344"/>
        <v>140</v>
      </c>
      <c r="F861" s="3" t="str">
        <f t="shared" si="355"/>
        <v>100</v>
      </c>
      <c r="G861" s="3" t="str">
        <f t="shared" si="353"/>
        <v>二级</v>
      </c>
    </row>
    <row r="862" customHeight="1" spans="1:7">
      <c r="A862" s="3" t="str">
        <f>"3261"</f>
        <v>3261</v>
      </c>
      <c r="B862" s="3" t="s">
        <v>2174</v>
      </c>
      <c r="C862" s="3" t="str">
        <f>"南托街道"</f>
        <v>南托街道</v>
      </c>
      <c r="D862" s="3" t="str">
        <f>"牛角塘村"</f>
        <v>牛角塘村</v>
      </c>
      <c r="E862" s="3" t="str">
        <f t="shared" si="344"/>
        <v>140</v>
      </c>
      <c r="F862" s="3" t="str">
        <f t="shared" si="355"/>
        <v>100</v>
      </c>
      <c r="G862" s="3" t="str">
        <f t="shared" si="353"/>
        <v>二级</v>
      </c>
    </row>
    <row r="863" customHeight="1" spans="1:7">
      <c r="A863" s="3" t="str">
        <f>"3262"</f>
        <v>3262</v>
      </c>
      <c r="B863" s="3" t="s">
        <v>579</v>
      </c>
      <c r="C863" s="3" t="str">
        <f>"赤岭路街道"</f>
        <v>赤岭路街道</v>
      </c>
      <c r="D863" s="3" t="str">
        <f>"猴子石社区"</f>
        <v>猴子石社区</v>
      </c>
      <c r="E863" s="3" t="str">
        <f t="shared" si="344"/>
        <v>140</v>
      </c>
      <c r="F863" s="3" t="str">
        <f t="shared" si="355"/>
        <v>100</v>
      </c>
      <c r="G863" s="3" t="str">
        <f t="shared" si="353"/>
        <v>二级</v>
      </c>
    </row>
    <row r="864" customHeight="1" spans="1:7">
      <c r="A864" s="3" t="str">
        <f>"3263"</f>
        <v>3263</v>
      </c>
      <c r="B864" s="3" t="s">
        <v>2175</v>
      </c>
      <c r="C864" s="3" t="str">
        <f>"黑石铺街道"</f>
        <v>黑石铺街道</v>
      </c>
      <c r="D864" s="3" t="str">
        <f>"披塘村委会"</f>
        <v>披塘村委会</v>
      </c>
      <c r="E864" s="3" t="str">
        <f t="shared" si="344"/>
        <v>140</v>
      </c>
      <c r="F864" s="3" t="str">
        <f t="shared" si="355"/>
        <v>100</v>
      </c>
      <c r="G864" s="3" t="str">
        <f t="shared" si="353"/>
        <v>二级</v>
      </c>
    </row>
    <row r="865" customHeight="1" spans="1:7">
      <c r="A865" s="3" t="str">
        <f>"3264"</f>
        <v>3264</v>
      </c>
      <c r="B865" s="3" t="s">
        <v>2176</v>
      </c>
      <c r="C865" s="3" t="str">
        <f>"新开铺街道"</f>
        <v>新开铺街道</v>
      </c>
      <c r="D865" s="3" t="str">
        <f>"新天社区"</f>
        <v>新天社区</v>
      </c>
      <c r="E865" s="3" t="str">
        <f t="shared" si="344"/>
        <v>140</v>
      </c>
      <c r="F865" s="3" t="str">
        <f t="shared" si="355"/>
        <v>100</v>
      </c>
      <c r="G865" s="3" t="str">
        <f t="shared" si="353"/>
        <v>二级</v>
      </c>
    </row>
    <row r="866" customHeight="1" spans="1:7">
      <c r="A866" s="3" t="str">
        <f>"3265"</f>
        <v>3265</v>
      </c>
      <c r="B866" s="3" t="s">
        <v>2177</v>
      </c>
      <c r="C866" s="3" t="str">
        <f>"城南路街道"</f>
        <v>城南路街道</v>
      </c>
      <c r="D866" s="3" t="str">
        <f>"燕子岭社区"</f>
        <v>燕子岭社区</v>
      </c>
      <c r="E866" s="3" t="str">
        <f t="shared" si="344"/>
        <v>140</v>
      </c>
      <c r="F866" s="3" t="str">
        <f t="shared" si="355"/>
        <v>100</v>
      </c>
      <c r="G866" s="3" t="str">
        <f t="shared" si="353"/>
        <v>二级</v>
      </c>
    </row>
    <row r="867" customHeight="1" spans="1:7">
      <c r="A867" s="3" t="str">
        <f>"3266"</f>
        <v>3266</v>
      </c>
      <c r="B867" s="3" t="s">
        <v>398</v>
      </c>
      <c r="C867" s="3" t="str">
        <f>"城南路街道"</f>
        <v>城南路街道</v>
      </c>
      <c r="D867" s="3" t="str">
        <f>"燕子岭社区"</f>
        <v>燕子岭社区</v>
      </c>
      <c r="E867" s="3" t="str">
        <f t="shared" si="344"/>
        <v>140</v>
      </c>
      <c r="F867" s="3" t="str">
        <f>"0"</f>
        <v>0</v>
      </c>
      <c r="G867" s="3" t="str">
        <f>"三级"</f>
        <v>三级</v>
      </c>
    </row>
    <row r="868" customHeight="1" spans="1:7">
      <c r="A868" s="3" t="str">
        <f>"3267"</f>
        <v>3267</v>
      </c>
      <c r="B868" s="3" t="s">
        <v>2178</v>
      </c>
      <c r="C868" s="3" t="str">
        <f>"裕南街街道"</f>
        <v>裕南街街道</v>
      </c>
      <c r="D868" s="3" t="str">
        <f>"杏花园社区"</f>
        <v>杏花园社区</v>
      </c>
      <c r="E868" s="3" t="str">
        <f t="shared" si="344"/>
        <v>140</v>
      </c>
      <c r="F868" s="3" t="str">
        <f t="shared" ref="F868:F874" si="356">"100"</f>
        <v>100</v>
      </c>
      <c r="G868" s="3" t="str">
        <f t="shared" ref="G868:G870" si="357">"二级"</f>
        <v>二级</v>
      </c>
    </row>
    <row r="869" customHeight="1" spans="1:7">
      <c r="A869" s="3" t="str">
        <f>"3268"</f>
        <v>3268</v>
      </c>
      <c r="B869" s="3" t="s">
        <v>2179</v>
      </c>
      <c r="C869" s="3" t="str">
        <f>"南托街道"</f>
        <v>南托街道</v>
      </c>
      <c r="D869" s="3" t="str">
        <f>"融城社区"</f>
        <v>融城社区</v>
      </c>
      <c r="E869" s="3" t="str">
        <f t="shared" si="344"/>
        <v>140</v>
      </c>
      <c r="F869" s="3" t="str">
        <f t="shared" si="356"/>
        <v>100</v>
      </c>
      <c r="G869" s="3" t="str">
        <f t="shared" si="357"/>
        <v>二级</v>
      </c>
    </row>
    <row r="870" customHeight="1" spans="1:7">
      <c r="A870" s="3" t="str">
        <f>"3269"</f>
        <v>3269</v>
      </c>
      <c r="B870" s="3" t="s">
        <v>2180</v>
      </c>
      <c r="C870" s="3" t="str">
        <f>"南托街道"</f>
        <v>南托街道</v>
      </c>
      <c r="D870" s="3" t="str">
        <f>"沿江村"</f>
        <v>沿江村</v>
      </c>
      <c r="E870" s="3" t="str">
        <f t="shared" si="344"/>
        <v>140</v>
      </c>
      <c r="F870" s="3" t="str">
        <f t="shared" si="356"/>
        <v>100</v>
      </c>
      <c r="G870" s="3" t="str">
        <f t="shared" si="357"/>
        <v>二级</v>
      </c>
    </row>
    <row r="871" customHeight="1" spans="1:7">
      <c r="A871" s="3" t="str">
        <f>"3270"</f>
        <v>3270</v>
      </c>
      <c r="B871" s="3" t="s">
        <v>2181</v>
      </c>
      <c r="C871" s="3" t="str">
        <f>"桂花坪街道"</f>
        <v>桂花坪街道</v>
      </c>
      <c r="D871" s="3" t="str">
        <f>"金桂社区"</f>
        <v>金桂社区</v>
      </c>
      <c r="E871" s="3" t="str">
        <f t="shared" si="344"/>
        <v>140</v>
      </c>
      <c r="F871" s="3" t="str">
        <f t="shared" si="356"/>
        <v>100</v>
      </c>
      <c r="G871" s="3" t="str">
        <f t="shared" ref="G871:G876" si="358">"一级"</f>
        <v>一级</v>
      </c>
    </row>
    <row r="872" customHeight="1" spans="1:7">
      <c r="A872" s="3" t="str">
        <f>"3271"</f>
        <v>3271</v>
      </c>
      <c r="B872" s="3" t="s">
        <v>1412</v>
      </c>
      <c r="C872" s="3" t="str">
        <f>"桂花坪街道"</f>
        <v>桂花坪街道</v>
      </c>
      <c r="D872" s="3" t="str">
        <f>"九峰苑社区"</f>
        <v>九峰苑社区</v>
      </c>
      <c r="E872" s="3" t="str">
        <f t="shared" si="344"/>
        <v>140</v>
      </c>
      <c r="F872" s="3" t="str">
        <f t="shared" si="356"/>
        <v>100</v>
      </c>
      <c r="G872" s="3" t="str">
        <f t="shared" ref="G872:G878" si="359">"二级"</f>
        <v>二级</v>
      </c>
    </row>
    <row r="873" customHeight="1" spans="1:7">
      <c r="A873" s="3" t="str">
        <f>"3272"</f>
        <v>3272</v>
      </c>
      <c r="B873" s="3" t="s">
        <v>2182</v>
      </c>
      <c r="C873" s="3" t="str">
        <f t="shared" ref="C873:C876" si="360">"文源街道"</f>
        <v>文源街道</v>
      </c>
      <c r="D873" s="3" t="str">
        <f>"文源社区"</f>
        <v>文源社区</v>
      </c>
      <c r="E873" s="3" t="str">
        <f t="shared" si="344"/>
        <v>140</v>
      </c>
      <c r="F873" s="3" t="str">
        <f t="shared" si="356"/>
        <v>100</v>
      </c>
      <c r="G873" s="3" t="str">
        <f t="shared" si="359"/>
        <v>二级</v>
      </c>
    </row>
    <row r="874" customHeight="1" spans="1:7">
      <c r="A874" s="3" t="str">
        <f>"3273"</f>
        <v>3273</v>
      </c>
      <c r="B874" s="3" t="s">
        <v>2183</v>
      </c>
      <c r="C874" s="3" t="str">
        <f>"裕南街街道"</f>
        <v>裕南街街道</v>
      </c>
      <c r="D874" s="3" t="str">
        <f>"向东南社区"</f>
        <v>向东南社区</v>
      </c>
      <c r="E874" s="3" t="str">
        <f t="shared" si="344"/>
        <v>140</v>
      </c>
      <c r="F874" s="3" t="str">
        <f t="shared" si="356"/>
        <v>100</v>
      </c>
      <c r="G874" s="3" t="str">
        <f t="shared" si="358"/>
        <v>一级</v>
      </c>
    </row>
    <row r="875" customHeight="1" spans="1:7">
      <c r="A875" s="3" t="str">
        <f>"3274"</f>
        <v>3274</v>
      </c>
      <c r="B875" s="3" t="s">
        <v>2184</v>
      </c>
      <c r="C875" s="3" t="str">
        <f t="shared" si="360"/>
        <v>文源街道</v>
      </c>
      <c r="D875" s="3" t="str">
        <f>"梅岭社区"</f>
        <v>梅岭社区</v>
      </c>
      <c r="E875" s="3" t="str">
        <f t="shared" si="344"/>
        <v>140</v>
      </c>
      <c r="F875" s="3" t="str">
        <f>"0"</f>
        <v>0</v>
      </c>
      <c r="G875" s="3" t="str">
        <f>"三级"</f>
        <v>三级</v>
      </c>
    </row>
    <row r="876" customHeight="1" spans="1:7">
      <c r="A876" s="3" t="str">
        <f>"3275"</f>
        <v>3275</v>
      </c>
      <c r="B876" s="3" t="s">
        <v>411</v>
      </c>
      <c r="C876" s="3" t="str">
        <f t="shared" si="360"/>
        <v>文源街道</v>
      </c>
      <c r="D876" s="3" t="str">
        <f>"状元坡社区"</f>
        <v>状元坡社区</v>
      </c>
      <c r="E876" s="3" t="str">
        <f t="shared" si="344"/>
        <v>140</v>
      </c>
      <c r="F876" s="3" t="str">
        <f t="shared" ref="F876:F880" si="361">"100"</f>
        <v>100</v>
      </c>
      <c r="G876" s="3" t="str">
        <f t="shared" si="358"/>
        <v>一级</v>
      </c>
    </row>
    <row r="877" customHeight="1" spans="1:7">
      <c r="A877" s="3" t="str">
        <f>"3276"</f>
        <v>3276</v>
      </c>
      <c r="B877" s="3" t="s">
        <v>294</v>
      </c>
      <c r="C877" s="3" t="str">
        <f>"黑石铺街道"</f>
        <v>黑石铺街道</v>
      </c>
      <c r="D877" s="3" t="str">
        <f>"创谷社区"</f>
        <v>创谷社区</v>
      </c>
      <c r="E877" s="3" t="str">
        <f t="shared" si="344"/>
        <v>140</v>
      </c>
      <c r="F877" s="3" t="str">
        <f t="shared" si="361"/>
        <v>100</v>
      </c>
      <c r="G877" s="3" t="str">
        <f t="shared" si="359"/>
        <v>二级</v>
      </c>
    </row>
    <row r="878" customHeight="1" spans="1:7">
      <c r="A878" s="3" t="str">
        <f>"3277"</f>
        <v>3277</v>
      </c>
      <c r="B878" s="3" t="s">
        <v>2185</v>
      </c>
      <c r="C878" s="3" t="str">
        <f>"青园街道"</f>
        <v>青园街道</v>
      </c>
      <c r="D878" s="3" t="str">
        <f>"友谊社区"</f>
        <v>友谊社区</v>
      </c>
      <c r="E878" s="3" t="str">
        <f t="shared" si="344"/>
        <v>140</v>
      </c>
      <c r="F878" s="3" t="str">
        <f t="shared" si="361"/>
        <v>100</v>
      </c>
      <c r="G878" s="3" t="str">
        <f t="shared" si="359"/>
        <v>二级</v>
      </c>
    </row>
    <row r="879" customHeight="1" spans="1:7">
      <c r="A879" s="3" t="str">
        <f>"3278"</f>
        <v>3278</v>
      </c>
      <c r="B879" s="3" t="s">
        <v>2186</v>
      </c>
      <c r="C879" s="3" t="str">
        <f>"黑石铺街道"</f>
        <v>黑石铺街道</v>
      </c>
      <c r="D879" s="3" t="str">
        <f>"黑石铺社区"</f>
        <v>黑石铺社区</v>
      </c>
      <c r="E879" s="3" t="str">
        <f t="shared" si="344"/>
        <v>140</v>
      </c>
      <c r="F879" s="3" t="str">
        <f t="shared" si="361"/>
        <v>100</v>
      </c>
      <c r="G879" s="3" t="str">
        <f t="shared" ref="G879:G883" si="362">"一级"</f>
        <v>一级</v>
      </c>
    </row>
    <row r="880" customHeight="1" spans="1:7">
      <c r="A880" s="3" t="str">
        <f>"3279"</f>
        <v>3279</v>
      </c>
      <c r="B880" s="3" t="s">
        <v>68</v>
      </c>
      <c r="C880" s="3" t="str">
        <f>"金盆岭街道"</f>
        <v>金盆岭街道</v>
      </c>
      <c r="D880" s="3" t="str">
        <f>"狮子山社区"</f>
        <v>狮子山社区</v>
      </c>
      <c r="E880" s="3" t="str">
        <f t="shared" si="344"/>
        <v>140</v>
      </c>
      <c r="F880" s="3" t="str">
        <f t="shared" si="361"/>
        <v>100</v>
      </c>
      <c r="G880" s="3" t="str">
        <f>"二级"</f>
        <v>二级</v>
      </c>
    </row>
    <row r="881" customHeight="1" spans="1:7">
      <c r="A881" s="3" t="str">
        <f>"3280"</f>
        <v>3280</v>
      </c>
      <c r="B881" s="3" t="s">
        <v>1118</v>
      </c>
      <c r="C881" s="3" t="str">
        <f>"城南路街道"</f>
        <v>城南路街道</v>
      </c>
      <c r="D881" s="3" t="str">
        <f>"白沙井社区"</f>
        <v>白沙井社区</v>
      </c>
      <c r="E881" s="3" t="str">
        <f t="shared" si="344"/>
        <v>140</v>
      </c>
      <c r="F881" s="3" t="str">
        <f>"0"</f>
        <v>0</v>
      </c>
      <c r="G881" s="3" t="str">
        <f>"三级"</f>
        <v>三级</v>
      </c>
    </row>
    <row r="882" customHeight="1" spans="1:7">
      <c r="A882" s="3" t="str">
        <f>"3281"</f>
        <v>3281</v>
      </c>
      <c r="B882" s="3" t="s">
        <v>1645</v>
      </c>
      <c r="C882" s="3" t="str">
        <f>"金盆岭街道"</f>
        <v>金盆岭街道</v>
      </c>
      <c r="D882" s="3" t="str">
        <f>"黄土岭社区"</f>
        <v>黄土岭社区</v>
      </c>
      <c r="E882" s="3" t="str">
        <f t="shared" si="344"/>
        <v>140</v>
      </c>
      <c r="F882" s="3" t="str">
        <f t="shared" ref="F882:F890" si="363">"100"</f>
        <v>100</v>
      </c>
      <c r="G882" s="3" t="str">
        <f t="shared" si="362"/>
        <v>一级</v>
      </c>
    </row>
    <row r="883" customHeight="1" spans="1:7">
      <c r="A883" s="3" t="str">
        <f>"3282"</f>
        <v>3282</v>
      </c>
      <c r="B883" s="3" t="s">
        <v>2187</v>
      </c>
      <c r="C883" s="3" t="str">
        <f>"城南路街道"</f>
        <v>城南路街道</v>
      </c>
      <c r="D883" s="3" t="str">
        <f>"吴家坪社区"</f>
        <v>吴家坪社区</v>
      </c>
      <c r="E883" s="3" t="str">
        <f t="shared" si="344"/>
        <v>140</v>
      </c>
      <c r="F883" s="3" t="str">
        <f t="shared" si="363"/>
        <v>100</v>
      </c>
      <c r="G883" s="3" t="str">
        <f t="shared" si="362"/>
        <v>一级</v>
      </c>
    </row>
    <row r="884" customHeight="1" spans="1:7">
      <c r="A884" s="3" t="str">
        <f>"3283"</f>
        <v>3283</v>
      </c>
      <c r="B884" s="3" t="s">
        <v>2188</v>
      </c>
      <c r="C884" s="3" t="str">
        <f>"暮云街道"</f>
        <v>暮云街道</v>
      </c>
      <c r="D884" s="3" t="str">
        <f>"卢浮社区"</f>
        <v>卢浮社区</v>
      </c>
      <c r="E884" s="3" t="str">
        <f t="shared" si="344"/>
        <v>140</v>
      </c>
      <c r="F884" s="3" t="str">
        <f t="shared" si="363"/>
        <v>100</v>
      </c>
      <c r="G884" s="3" t="str">
        <f t="shared" ref="G884:G887" si="364">"二级"</f>
        <v>二级</v>
      </c>
    </row>
    <row r="885" customHeight="1" spans="1:7">
      <c r="A885" s="3" t="str">
        <f>"3284"</f>
        <v>3284</v>
      </c>
      <c r="B885" s="3" t="s">
        <v>1242</v>
      </c>
      <c r="C885" s="3" t="str">
        <f>"新开铺街道"</f>
        <v>新开铺街道</v>
      </c>
      <c r="D885" s="3" t="str">
        <f>"桥头社区"</f>
        <v>桥头社区</v>
      </c>
      <c r="E885" s="3" t="str">
        <f t="shared" si="344"/>
        <v>140</v>
      </c>
      <c r="F885" s="3" t="str">
        <f t="shared" si="363"/>
        <v>100</v>
      </c>
      <c r="G885" s="3" t="str">
        <f t="shared" ref="G885:G889" si="365">"一级"</f>
        <v>一级</v>
      </c>
    </row>
    <row r="886" customHeight="1" spans="1:7">
      <c r="A886" s="3" t="str">
        <f>"3285"</f>
        <v>3285</v>
      </c>
      <c r="B886" s="3" t="s">
        <v>2189</v>
      </c>
      <c r="C886" s="3" t="str">
        <f t="shared" ref="C886:C891" si="366">"大托铺街道"</f>
        <v>大托铺街道</v>
      </c>
      <c r="D886" s="3" t="str">
        <f>"黄合村委会"</f>
        <v>黄合村委会</v>
      </c>
      <c r="E886" s="3" t="str">
        <f t="shared" si="344"/>
        <v>140</v>
      </c>
      <c r="F886" s="3" t="str">
        <f t="shared" si="363"/>
        <v>100</v>
      </c>
      <c r="G886" s="3" t="str">
        <f t="shared" si="364"/>
        <v>二级</v>
      </c>
    </row>
    <row r="887" customHeight="1" spans="1:7">
      <c r="A887" s="3" t="str">
        <f>"3286"</f>
        <v>3286</v>
      </c>
      <c r="B887" s="3" t="s">
        <v>2190</v>
      </c>
      <c r="C887" s="3" t="str">
        <f t="shared" ref="C887:C889" si="367">"裕南街街道"</f>
        <v>裕南街街道</v>
      </c>
      <c r="D887" s="3" t="str">
        <f t="shared" ref="D887:D889" si="368">"火把山社区"</f>
        <v>火把山社区</v>
      </c>
      <c r="E887" s="3" t="str">
        <f t="shared" si="344"/>
        <v>140</v>
      </c>
      <c r="F887" s="3" t="str">
        <f t="shared" si="363"/>
        <v>100</v>
      </c>
      <c r="G887" s="3" t="str">
        <f t="shared" si="364"/>
        <v>二级</v>
      </c>
    </row>
    <row r="888" customHeight="1" spans="1:7">
      <c r="A888" s="3" t="str">
        <f>"3287"</f>
        <v>3287</v>
      </c>
      <c r="B888" s="3" t="s">
        <v>2191</v>
      </c>
      <c r="C888" s="3" t="str">
        <f t="shared" si="367"/>
        <v>裕南街街道</v>
      </c>
      <c r="D888" s="3" t="str">
        <f t="shared" si="368"/>
        <v>火把山社区</v>
      </c>
      <c r="E888" s="3" t="str">
        <f t="shared" si="344"/>
        <v>140</v>
      </c>
      <c r="F888" s="3" t="str">
        <f t="shared" si="363"/>
        <v>100</v>
      </c>
      <c r="G888" s="3" t="str">
        <f t="shared" si="365"/>
        <v>一级</v>
      </c>
    </row>
    <row r="889" customHeight="1" spans="1:7">
      <c r="A889" s="3" t="str">
        <f>"3288"</f>
        <v>3288</v>
      </c>
      <c r="B889" s="3" t="s">
        <v>548</v>
      </c>
      <c r="C889" s="3" t="str">
        <f t="shared" si="367"/>
        <v>裕南街街道</v>
      </c>
      <c r="D889" s="3" t="str">
        <f t="shared" si="368"/>
        <v>火把山社区</v>
      </c>
      <c r="E889" s="3" t="str">
        <f t="shared" si="344"/>
        <v>140</v>
      </c>
      <c r="F889" s="3" t="str">
        <f t="shared" si="363"/>
        <v>100</v>
      </c>
      <c r="G889" s="3" t="str">
        <f t="shared" si="365"/>
        <v>一级</v>
      </c>
    </row>
    <row r="890" customHeight="1" spans="1:7">
      <c r="A890" s="3" t="str">
        <f>"3289"</f>
        <v>3289</v>
      </c>
      <c r="B890" s="3" t="s">
        <v>2192</v>
      </c>
      <c r="C890" s="3" t="str">
        <f t="shared" si="366"/>
        <v>大托铺街道</v>
      </c>
      <c r="D890" s="3" t="str">
        <f>"大托村委会"</f>
        <v>大托村委会</v>
      </c>
      <c r="E890" s="3" t="str">
        <f t="shared" si="344"/>
        <v>140</v>
      </c>
      <c r="F890" s="3" t="str">
        <f t="shared" si="363"/>
        <v>100</v>
      </c>
      <c r="G890" s="3" t="str">
        <f t="shared" ref="G890:G895" si="369">"二级"</f>
        <v>二级</v>
      </c>
    </row>
    <row r="891" customHeight="1" spans="1:7">
      <c r="A891" s="3" t="str">
        <f>"3290"</f>
        <v>3290</v>
      </c>
      <c r="B891" s="3" t="s">
        <v>1559</v>
      </c>
      <c r="C891" s="3" t="str">
        <f t="shared" si="366"/>
        <v>大托铺街道</v>
      </c>
      <c r="D891" s="3" t="str">
        <f>"大托村委会"</f>
        <v>大托村委会</v>
      </c>
      <c r="E891" s="3" t="str">
        <f t="shared" si="344"/>
        <v>140</v>
      </c>
      <c r="F891" s="3" t="str">
        <f>"0"</f>
        <v>0</v>
      </c>
      <c r="G891" s="3" t="str">
        <f>"三级"</f>
        <v>三级</v>
      </c>
    </row>
    <row r="892" customHeight="1" spans="1:7">
      <c r="A892" s="3" t="str">
        <f>"3291"</f>
        <v>3291</v>
      </c>
      <c r="B892" s="3" t="s">
        <v>2193</v>
      </c>
      <c r="C892" s="3" t="str">
        <f t="shared" ref="C892:C894" si="370">"新开铺街道"</f>
        <v>新开铺街道</v>
      </c>
      <c r="D892" s="3" t="str">
        <f>"桥头社区"</f>
        <v>桥头社区</v>
      </c>
      <c r="E892" s="3" t="str">
        <f t="shared" si="344"/>
        <v>140</v>
      </c>
      <c r="F892" s="3" t="str">
        <f t="shared" ref="F892:F901" si="371">"100"</f>
        <v>100</v>
      </c>
      <c r="G892" s="3" t="str">
        <f t="shared" si="369"/>
        <v>二级</v>
      </c>
    </row>
    <row r="893" customHeight="1" spans="1:7">
      <c r="A893" s="3" t="str">
        <f>"3292"</f>
        <v>3292</v>
      </c>
      <c r="B893" s="3" t="s">
        <v>2031</v>
      </c>
      <c r="C893" s="3" t="str">
        <f t="shared" si="370"/>
        <v>新开铺街道</v>
      </c>
      <c r="D893" s="3" t="str">
        <f>"豹子岭社区"</f>
        <v>豹子岭社区</v>
      </c>
      <c r="E893" s="3" t="str">
        <f t="shared" si="344"/>
        <v>140</v>
      </c>
      <c r="F893" s="3" t="str">
        <f t="shared" si="371"/>
        <v>100</v>
      </c>
      <c r="G893" s="3" t="str">
        <f>"一级"</f>
        <v>一级</v>
      </c>
    </row>
    <row r="894" customHeight="1" spans="1:7">
      <c r="A894" s="3" t="str">
        <f>"3293"</f>
        <v>3293</v>
      </c>
      <c r="B894" s="3" t="s">
        <v>2194</v>
      </c>
      <c r="C894" s="3" t="str">
        <f t="shared" si="370"/>
        <v>新开铺街道</v>
      </c>
      <c r="D894" s="3" t="str">
        <f>"豹子岭社区"</f>
        <v>豹子岭社区</v>
      </c>
      <c r="E894" s="3" t="str">
        <f t="shared" si="344"/>
        <v>140</v>
      </c>
      <c r="F894" s="3" t="str">
        <f t="shared" si="371"/>
        <v>100</v>
      </c>
      <c r="G894" s="3" t="str">
        <f t="shared" si="369"/>
        <v>二级</v>
      </c>
    </row>
    <row r="895" customHeight="1" spans="1:7">
      <c r="A895" s="3" t="str">
        <f>"3294"</f>
        <v>3294</v>
      </c>
      <c r="B895" s="3" t="s">
        <v>2195</v>
      </c>
      <c r="C895" s="3" t="str">
        <f>"黑石铺街道"</f>
        <v>黑石铺街道</v>
      </c>
      <c r="D895" s="3" t="str">
        <f>"黑石铺社区"</f>
        <v>黑石铺社区</v>
      </c>
      <c r="E895" s="3" t="str">
        <f t="shared" si="344"/>
        <v>140</v>
      </c>
      <c r="F895" s="3" t="str">
        <f t="shared" si="371"/>
        <v>100</v>
      </c>
      <c r="G895" s="3" t="str">
        <f t="shared" si="369"/>
        <v>二级</v>
      </c>
    </row>
    <row r="896" customHeight="1" spans="1:7">
      <c r="A896" s="3" t="str">
        <f>"3295"</f>
        <v>3295</v>
      </c>
      <c r="B896" s="3" t="s">
        <v>2196</v>
      </c>
      <c r="C896" s="3" t="str">
        <f>"坡子街街道"</f>
        <v>坡子街街道</v>
      </c>
      <c r="D896" s="3" t="str">
        <f>"登仁桥社区"</f>
        <v>登仁桥社区</v>
      </c>
      <c r="E896" s="3" t="str">
        <f t="shared" si="344"/>
        <v>140</v>
      </c>
      <c r="F896" s="3" t="str">
        <f t="shared" si="371"/>
        <v>100</v>
      </c>
      <c r="G896" s="3" t="str">
        <f>"一级"</f>
        <v>一级</v>
      </c>
    </row>
    <row r="897" customHeight="1" spans="1:7">
      <c r="A897" s="3" t="str">
        <f>"3296"</f>
        <v>3296</v>
      </c>
      <c r="B897" s="3" t="s">
        <v>2197</v>
      </c>
      <c r="C897" s="3" t="str">
        <f>"赤岭路街道"</f>
        <v>赤岭路街道</v>
      </c>
      <c r="D897" s="3" t="str">
        <f>"猴子石社区"</f>
        <v>猴子石社区</v>
      </c>
      <c r="E897" s="3" t="str">
        <f t="shared" si="344"/>
        <v>140</v>
      </c>
      <c r="F897" s="3" t="str">
        <f t="shared" si="371"/>
        <v>100</v>
      </c>
      <c r="G897" s="3" t="str">
        <f t="shared" ref="G897:G901" si="372">"二级"</f>
        <v>二级</v>
      </c>
    </row>
    <row r="898" customHeight="1" spans="1:7">
      <c r="A898" s="3" t="str">
        <f>"3297"</f>
        <v>3297</v>
      </c>
      <c r="B898" s="3" t="s">
        <v>2198</v>
      </c>
      <c r="C898" s="3" t="str">
        <f>"裕南街街道"</f>
        <v>裕南街街道</v>
      </c>
      <c r="D898" s="3" t="str">
        <f>"长坡社区"</f>
        <v>长坡社区</v>
      </c>
      <c r="E898" s="3" t="str">
        <f t="shared" ref="E898:E961" si="373">"140"</f>
        <v>140</v>
      </c>
      <c r="F898" s="3" t="str">
        <f t="shared" si="371"/>
        <v>100</v>
      </c>
      <c r="G898" s="3" t="str">
        <f t="shared" si="372"/>
        <v>二级</v>
      </c>
    </row>
    <row r="899" customHeight="1" spans="1:7">
      <c r="A899" s="3" t="str">
        <f>"3298"</f>
        <v>3298</v>
      </c>
      <c r="B899" s="3" t="s">
        <v>2199</v>
      </c>
      <c r="C899" s="3" t="str">
        <f>"裕南街街道"</f>
        <v>裕南街街道</v>
      </c>
      <c r="D899" s="3" t="str">
        <f>"长坡社区"</f>
        <v>长坡社区</v>
      </c>
      <c r="E899" s="3" t="str">
        <f t="shared" si="373"/>
        <v>140</v>
      </c>
      <c r="F899" s="3" t="str">
        <f t="shared" si="371"/>
        <v>100</v>
      </c>
      <c r="G899" s="3" t="str">
        <f>"一级"</f>
        <v>一级</v>
      </c>
    </row>
    <row r="900" customHeight="1" spans="1:7">
      <c r="A900" s="3" t="str">
        <f>"3299"</f>
        <v>3299</v>
      </c>
      <c r="B900" s="3" t="s">
        <v>2200</v>
      </c>
      <c r="C900" s="3" t="str">
        <f t="shared" ref="C900:C903" si="374">"黑石铺街道"</f>
        <v>黑石铺街道</v>
      </c>
      <c r="D900" s="3" t="str">
        <f>"一力社区"</f>
        <v>一力社区</v>
      </c>
      <c r="E900" s="3" t="str">
        <f t="shared" si="373"/>
        <v>140</v>
      </c>
      <c r="F900" s="3" t="str">
        <f t="shared" si="371"/>
        <v>100</v>
      </c>
      <c r="G900" s="3" t="str">
        <f t="shared" si="372"/>
        <v>二级</v>
      </c>
    </row>
    <row r="901" customHeight="1" spans="1:7">
      <c r="A901" s="3" t="str">
        <f>"3300"</f>
        <v>3300</v>
      </c>
      <c r="B901" s="3" t="s">
        <v>140</v>
      </c>
      <c r="C901" s="3" t="str">
        <f>"坡子街街道"</f>
        <v>坡子街街道</v>
      </c>
      <c r="D901" s="3" t="str">
        <f>"坡子街社区"</f>
        <v>坡子街社区</v>
      </c>
      <c r="E901" s="3" t="str">
        <f t="shared" si="373"/>
        <v>140</v>
      </c>
      <c r="F901" s="3" t="str">
        <f t="shared" si="371"/>
        <v>100</v>
      </c>
      <c r="G901" s="3" t="str">
        <f t="shared" si="372"/>
        <v>二级</v>
      </c>
    </row>
    <row r="902" customHeight="1" spans="1:7">
      <c r="A902" s="3" t="str">
        <f>"3301"</f>
        <v>3301</v>
      </c>
      <c r="B902" s="3" t="s">
        <v>76</v>
      </c>
      <c r="C902" s="3" t="str">
        <f t="shared" si="374"/>
        <v>黑石铺街道</v>
      </c>
      <c r="D902" s="3" t="str">
        <f>"铭安社区"</f>
        <v>铭安社区</v>
      </c>
      <c r="E902" s="3" t="str">
        <f t="shared" si="373"/>
        <v>140</v>
      </c>
      <c r="F902" s="3" t="str">
        <f t="shared" ref="F902:F907" si="375">"0"</f>
        <v>0</v>
      </c>
      <c r="G902" s="3" t="str">
        <f t="shared" ref="G902:G907" si="376">"三级"</f>
        <v>三级</v>
      </c>
    </row>
    <row r="903" customHeight="1" spans="1:7">
      <c r="A903" s="3" t="str">
        <f>"3302"</f>
        <v>3302</v>
      </c>
      <c r="B903" s="3" t="s">
        <v>2201</v>
      </c>
      <c r="C903" s="3" t="str">
        <f t="shared" si="374"/>
        <v>黑石铺街道</v>
      </c>
      <c r="D903" s="3" t="str">
        <f>"铭安社区"</f>
        <v>铭安社区</v>
      </c>
      <c r="E903" s="3" t="str">
        <f t="shared" si="373"/>
        <v>140</v>
      </c>
      <c r="F903" s="3" t="str">
        <f t="shared" si="375"/>
        <v>0</v>
      </c>
      <c r="G903" s="3" t="str">
        <f t="shared" si="376"/>
        <v>三级</v>
      </c>
    </row>
    <row r="904" customHeight="1" spans="1:7">
      <c r="A904" s="3" t="str">
        <f>"3303"</f>
        <v>3303</v>
      </c>
      <c r="B904" s="3" t="s">
        <v>2202</v>
      </c>
      <c r="C904" s="3" t="str">
        <f>"先锋街道"</f>
        <v>先锋街道</v>
      </c>
      <c r="D904" s="3" t="str">
        <f>"新宇社区"</f>
        <v>新宇社区</v>
      </c>
      <c r="E904" s="3" t="str">
        <f t="shared" si="373"/>
        <v>140</v>
      </c>
      <c r="F904" s="3" t="str">
        <f t="shared" ref="F904:F906" si="377">"100"</f>
        <v>100</v>
      </c>
      <c r="G904" s="3" t="str">
        <f t="shared" ref="G904:G906" si="378">"二级"</f>
        <v>二级</v>
      </c>
    </row>
    <row r="905" customHeight="1" spans="1:7">
      <c r="A905" s="3" t="str">
        <f>"3304"</f>
        <v>3304</v>
      </c>
      <c r="B905" s="3" t="s">
        <v>2203</v>
      </c>
      <c r="C905" s="3" t="str">
        <f>"先锋街道"</f>
        <v>先锋街道</v>
      </c>
      <c r="D905" s="3" t="str">
        <f>"新宇社区"</f>
        <v>新宇社区</v>
      </c>
      <c r="E905" s="3" t="str">
        <f t="shared" si="373"/>
        <v>140</v>
      </c>
      <c r="F905" s="3" t="str">
        <f t="shared" si="377"/>
        <v>100</v>
      </c>
      <c r="G905" s="3" t="str">
        <f t="shared" si="378"/>
        <v>二级</v>
      </c>
    </row>
    <row r="906" customHeight="1" spans="1:7">
      <c r="A906" s="3" t="str">
        <f>"3305"</f>
        <v>3305</v>
      </c>
      <c r="B906" s="3" t="s">
        <v>2204</v>
      </c>
      <c r="C906" s="3" t="str">
        <f>"金盆岭街道"</f>
        <v>金盆岭街道</v>
      </c>
      <c r="D906" s="3" t="str">
        <f>"黄土岭社区"</f>
        <v>黄土岭社区</v>
      </c>
      <c r="E906" s="3" t="str">
        <f t="shared" si="373"/>
        <v>140</v>
      </c>
      <c r="F906" s="3" t="str">
        <f t="shared" si="377"/>
        <v>100</v>
      </c>
      <c r="G906" s="3" t="str">
        <f t="shared" si="378"/>
        <v>二级</v>
      </c>
    </row>
    <row r="907" customHeight="1" spans="1:7">
      <c r="A907" s="3" t="str">
        <f>"3306"</f>
        <v>3306</v>
      </c>
      <c r="B907" s="3" t="s">
        <v>2205</v>
      </c>
      <c r="C907" s="3" t="str">
        <f>"暮云街道"</f>
        <v>暮云街道</v>
      </c>
      <c r="D907" s="3" t="str">
        <f>"许兴村"</f>
        <v>许兴村</v>
      </c>
      <c r="E907" s="3" t="str">
        <f t="shared" si="373"/>
        <v>140</v>
      </c>
      <c r="F907" s="3" t="str">
        <f t="shared" si="375"/>
        <v>0</v>
      </c>
      <c r="G907" s="3" t="str">
        <f t="shared" si="376"/>
        <v>三级</v>
      </c>
    </row>
    <row r="908" customHeight="1" spans="1:7">
      <c r="A908" s="3" t="str">
        <f>"3307"</f>
        <v>3307</v>
      </c>
      <c r="B908" s="3" t="s">
        <v>2206</v>
      </c>
      <c r="C908" s="3" t="str">
        <f>"赤岭路街道"</f>
        <v>赤岭路街道</v>
      </c>
      <c r="D908" s="3" t="str">
        <f>"南大桥社区"</f>
        <v>南大桥社区</v>
      </c>
      <c r="E908" s="3" t="str">
        <f t="shared" si="373"/>
        <v>140</v>
      </c>
      <c r="F908" s="3" t="str">
        <f t="shared" ref="F908:F929" si="379">"100"</f>
        <v>100</v>
      </c>
      <c r="G908" s="3" t="str">
        <f t="shared" ref="G908:G916" si="380">"二级"</f>
        <v>二级</v>
      </c>
    </row>
    <row r="909" customHeight="1" spans="1:7">
      <c r="A909" s="3" t="str">
        <f>"3308"</f>
        <v>3308</v>
      </c>
      <c r="B909" s="3" t="s">
        <v>2207</v>
      </c>
      <c r="C909" s="3" t="str">
        <f>"坡子街街道"</f>
        <v>坡子街街道</v>
      </c>
      <c r="D909" s="3" t="str">
        <f>"坡子街社区"</f>
        <v>坡子街社区</v>
      </c>
      <c r="E909" s="3" t="str">
        <f t="shared" si="373"/>
        <v>140</v>
      </c>
      <c r="F909" s="3" t="str">
        <f t="shared" si="379"/>
        <v>100</v>
      </c>
      <c r="G909" s="3" t="str">
        <f t="shared" si="380"/>
        <v>二级</v>
      </c>
    </row>
    <row r="910" customHeight="1" spans="1:7">
      <c r="A910" s="3" t="str">
        <f>"3309"</f>
        <v>3309</v>
      </c>
      <c r="B910" s="3" t="s">
        <v>2208</v>
      </c>
      <c r="C910" s="3" t="str">
        <f>"坡子街街道"</f>
        <v>坡子街街道</v>
      </c>
      <c r="D910" s="3" t="str">
        <f>"坡子街社区"</f>
        <v>坡子街社区</v>
      </c>
      <c r="E910" s="3" t="str">
        <f t="shared" si="373"/>
        <v>140</v>
      </c>
      <c r="F910" s="3" t="str">
        <f t="shared" si="379"/>
        <v>100</v>
      </c>
      <c r="G910" s="3" t="str">
        <f>"一级"</f>
        <v>一级</v>
      </c>
    </row>
    <row r="911" customHeight="1" spans="1:7">
      <c r="A911" s="3" t="str">
        <f>"3310"</f>
        <v>3310</v>
      </c>
      <c r="B911" s="3" t="s">
        <v>2209</v>
      </c>
      <c r="C911" s="3" t="str">
        <f>"先锋街道"</f>
        <v>先锋街道</v>
      </c>
      <c r="D911" s="3" t="str">
        <f>"新路村委会"</f>
        <v>新路村委会</v>
      </c>
      <c r="E911" s="3" t="str">
        <f t="shared" si="373"/>
        <v>140</v>
      </c>
      <c r="F911" s="3" t="str">
        <f t="shared" si="379"/>
        <v>100</v>
      </c>
      <c r="G911" s="3" t="str">
        <f>"一级"</f>
        <v>一级</v>
      </c>
    </row>
    <row r="912" customHeight="1" spans="1:7">
      <c r="A912" s="3" t="str">
        <f>"3311"</f>
        <v>3311</v>
      </c>
      <c r="B912" s="3" t="s">
        <v>32</v>
      </c>
      <c r="C912" s="3" t="str">
        <f>"先锋街道"</f>
        <v>先锋街道</v>
      </c>
      <c r="D912" s="3" t="str">
        <f>"嘉和社区"</f>
        <v>嘉和社区</v>
      </c>
      <c r="E912" s="3" t="str">
        <f t="shared" si="373"/>
        <v>140</v>
      </c>
      <c r="F912" s="3" t="str">
        <f t="shared" si="379"/>
        <v>100</v>
      </c>
      <c r="G912" s="3" t="str">
        <f t="shared" si="380"/>
        <v>二级</v>
      </c>
    </row>
    <row r="913" customHeight="1" spans="1:7">
      <c r="A913" s="3" t="str">
        <f>"3312"</f>
        <v>3312</v>
      </c>
      <c r="B913" s="3" t="s">
        <v>2210</v>
      </c>
      <c r="C913" s="3" t="str">
        <f>"南托街道"</f>
        <v>南托街道</v>
      </c>
      <c r="D913" s="3" t="str">
        <f>"融城社区"</f>
        <v>融城社区</v>
      </c>
      <c r="E913" s="3" t="str">
        <f t="shared" si="373"/>
        <v>140</v>
      </c>
      <c r="F913" s="3" t="str">
        <f t="shared" si="379"/>
        <v>100</v>
      </c>
      <c r="G913" s="3" t="str">
        <f t="shared" si="380"/>
        <v>二级</v>
      </c>
    </row>
    <row r="914" customHeight="1" spans="1:7">
      <c r="A914" s="3" t="str">
        <f>"3313"</f>
        <v>3313</v>
      </c>
      <c r="B914" s="3" t="s">
        <v>2211</v>
      </c>
      <c r="C914" s="3" t="str">
        <f>"裕南街街道"</f>
        <v>裕南街街道</v>
      </c>
      <c r="D914" s="3" t="str">
        <f>"火把山社区"</f>
        <v>火把山社区</v>
      </c>
      <c r="E914" s="3" t="str">
        <f t="shared" si="373"/>
        <v>140</v>
      </c>
      <c r="F914" s="3" t="str">
        <f t="shared" si="379"/>
        <v>100</v>
      </c>
      <c r="G914" s="3" t="str">
        <f t="shared" si="380"/>
        <v>二级</v>
      </c>
    </row>
    <row r="915" customHeight="1" spans="1:7">
      <c r="A915" s="3" t="str">
        <f>"3314"</f>
        <v>3314</v>
      </c>
      <c r="B915" s="3" t="s">
        <v>2212</v>
      </c>
      <c r="C915" s="3" t="str">
        <f>"桂花坪街道"</f>
        <v>桂花坪街道</v>
      </c>
      <c r="D915" s="3" t="str">
        <f>"丹桂社区"</f>
        <v>丹桂社区</v>
      </c>
      <c r="E915" s="3" t="str">
        <f t="shared" si="373"/>
        <v>140</v>
      </c>
      <c r="F915" s="3" t="str">
        <f t="shared" si="379"/>
        <v>100</v>
      </c>
      <c r="G915" s="3" t="str">
        <f t="shared" si="380"/>
        <v>二级</v>
      </c>
    </row>
    <row r="916" customHeight="1" spans="1:7">
      <c r="A916" s="3" t="str">
        <f>"3315"</f>
        <v>3315</v>
      </c>
      <c r="B916" s="3" t="s">
        <v>70</v>
      </c>
      <c r="C916" s="3" t="str">
        <f>"大托铺街道"</f>
        <v>大托铺街道</v>
      </c>
      <c r="D916" s="3" t="str">
        <f>"新港村委会"</f>
        <v>新港村委会</v>
      </c>
      <c r="E916" s="3" t="str">
        <f t="shared" si="373"/>
        <v>140</v>
      </c>
      <c r="F916" s="3" t="str">
        <f t="shared" si="379"/>
        <v>100</v>
      </c>
      <c r="G916" s="3" t="str">
        <f t="shared" si="380"/>
        <v>二级</v>
      </c>
    </row>
    <row r="917" customHeight="1" spans="1:7">
      <c r="A917" s="3" t="str">
        <f>"3316"</f>
        <v>3316</v>
      </c>
      <c r="B917" s="3" t="s">
        <v>1477</v>
      </c>
      <c r="C917" s="3" t="str">
        <f>"大托铺街道"</f>
        <v>大托铺街道</v>
      </c>
      <c r="D917" s="3" t="str">
        <f>"兴隆村委会"</f>
        <v>兴隆村委会</v>
      </c>
      <c r="E917" s="3" t="str">
        <f t="shared" si="373"/>
        <v>140</v>
      </c>
      <c r="F917" s="3" t="str">
        <f t="shared" si="379"/>
        <v>100</v>
      </c>
      <c r="G917" s="3" t="str">
        <f t="shared" ref="G917:G921" si="381">"一级"</f>
        <v>一级</v>
      </c>
    </row>
    <row r="918" customHeight="1" spans="1:7">
      <c r="A918" s="3" t="str">
        <f>"3317"</f>
        <v>3317</v>
      </c>
      <c r="B918" s="3" t="s">
        <v>2213</v>
      </c>
      <c r="C918" s="3" t="str">
        <f>"桂花坪街道"</f>
        <v>桂花坪街道</v>
      </c>
      <c r="D918" s="3" t="str">
        <f>"丹桂社区"</f>
        <v>丹桂社区</v>
      </c>
      <c r="E918" s="3" t="str">
        <f t="shared" si="373"/>
        <v>140</v>
      </c>
      <c r="F918" s="3" t="str">
        <f t="shared" si="379"/>
        <v>100</v>
      </c>
      <c r="G918" s="3" t="str">
        <f t="shared" ref="G918:G925" si="382">"二级"</f>
        <v>二级</v>
      </c>
    </row>
    <row r="919" customHeight="1" spans="1:7">
      <c r="A919" s="3" t="str">
        <f>"3318"</f>
        <v>3318</v>
      </c>
      <c r="B919" s="3" t="s">
        <v>2214</v>
      </c>
      <c r="C919" s="3" t="str">
        <f>"暮云街道"</f>
        <v>暮云街道</v>
      </c>
      <c r="D919" s="3" t="str">
        <f>"弘高社区"</f>
        <v>弘高社区</v>
      </c>
      <c r="E919" s="3" t="str">
        <f t="shared" si="373"/>
        <v>140</v>
      </c>
      <c r="F919" s="3" t="str">
        <f t="shared" si="379"/>
        <v>100</v>
      </c>
      <c r="G919" s="3" t="str">
        <f t="shared" si="382"/>
        <v>二级</v>
      </c>
    </row>
    <row r="920" customHeight="1" spans="1:7">
      <c r="A920" s="3" t="str">
        <f>"3319"</f>
        <v>3319</v>
      </c>
      <c r="B920" s="3" t="s">
        <v>2215</v>
      </c>
      <c r="C920" s="3" t="str">
        <f>"赤岭路街道"</f>
        <v>赤岭路街道</v>
      </c>
      <c r="D920" s="3" t="str">
        <f>"白沙花园社区"</f>
        <v>白沙花园社区</v>
      </c>
      <c r="E920" s="3" t="str">
        <f t="shared" si="373"/>
        <v>140</v>
      </c>
      <c r="F920" s="3" t="str">
        <f t="shared" si="379"/>
        <v>100</v>
      </c>
      <c r="G920" s="3" t="str">
        <f t="shared" si="381"/>
        <v>一级</v>
      </c>
    </row>
    <row r="921" customHeight="1" spans="1:7">
      <c r="A921" s="3" t="str">
        <f>"3320"</f>
        <v>3320</v>
      </c>
      <c r="B921" s="3" t="s">
        <v>2216</v>
      </c>
      <c r="C921" s="3" t="str">
        <f t="shared" ref="C921:C923" si="383">"南托街道"</f>
        <v>南托街道</v>
      </c>
      <c r="D921" s="3" t="str">
        <f>"北塘社区"</f>
        <v>北塘社区</v>
      </c>
      <c r="E921" s="3" t="str">
        <f t="shared" si="373"/>
        <v>140</v>
      </c>
      <c r="F921" s="3" t="str">
        <f t="shared" si="379"/>
        <v>100</v>
      </c>
      <c r="G921" s="3" t="str">
        <f t="shared" si="381"/>
        <v>一级</v>
      </c>
    </row>
    <row r="922" customHeight="1" spans="1:7">
      <c r="A922" s="3" t="str">
        <f>"3321"</f>
        <v>3321</v>
      </c>
      <c r="B922" s="3" t="s">
        <v>1763</v>
      </c>
      <c r="C922" s="3" t="str">
        <f t="shared" si="383"/>
        <v>南托街道</v>
      </c>
      <c r="D922" s="3" t="str">
        <f>"北塘社区"</f>
        <v>北塘社区</v>
      </c>
      <c r="E922" s="3" t="str">
        <f t="shared" si="373"/>
        <v>140</v>
      </c>
      <c r="F922" s="3" t="str">
        <f t="shared" si="379"/>
        <v>100</v>
      </c>
      <c r="G922" s="3" t="str">
        <f t="shared" si="382"/>
        <v>二级</v>
      </c>
    </row>
    <row r="923" customHeight="1" spans="1:7">
      <c r="A923" s="3" t="str">
        <f>"3322"</f>
        <v>3322</v>
      </c>
      <c r="B923" s="3" t="s">
        <v>804</v>
      </c>
      <c r="C923" s="3" t="str">
        <f t="shared" si="383"/>
        <v>南托街道</v>
      </c>
      <c r="D923" s="3" t="str">
        <f>"牛角塘村"</f>
        <v>牛角塘村</v>
      </c>
      <c r="E923" s="3" t="str">
        <f t="shared" si="373"/>
        <v>140</v>
      </c>
      <c r="F923" s="3" t="str">
        <f t="shared" si="379"/>
        <v>100</v>
      </c>
      <c r="G923" s="3" t="str">
        <f t="shared" si="382"/>
        <v>二级</v>
      </c>
    </row>
    <row r="924" customHeight="1" spans="1:7">
      <c r="A924" s="3" t="str">
        <f>"3323"</f>
        <v>3323</v>
      </c>
      <c r="B924" s="3" t="s">
        <v>135</v>
      </c>
      <c r="C924" s="3" t="str">
        <f>"金盆岭街道"</f>
        <v>金盆岭街道</v>
      </c>
      <c r="D924" s="3" t="str">
        <f>"涂新社区"</f>
        <v>涂新社区</v>
      </c>
      <c r="E924" s="3" t="str">
        <f t="shared" si="373"/>
        <v>140</v>
      </c>
      <c r="F924" s="3" t="str">
        <f t="shared" si="379"/>
        <v>100</v>
      </c>
      <c r="G924" s="3" t="str">
        <f t="shared" si="382"/>
        <v>二级</v>
      </c>
    </row>
    <row r="925" customHeight="1" spans="1:7">
      <c r="A925" s="3" t="str">
        <f>"3324"</f>
        <v>3324</v>
      </c>
      <c r="B925" s="3" t="s">
        <v>2217</v>
      </c>
      <c r="C925" s="3" t="str">
        <f t="shared" ref="C925:C927" si="384">"裕南街街道"</f>
        <v>裕南街街道</v>
      </c>
      <c r="D925" s="3" t="str">
        <f>"向东南社区"</f>
        <v>向东南社区</v>
      </c>
      <c r="E925" s="3" t="str">
        <f t="shared" si="373"/>
        <v>140</v>
      </c>
      <c r="F925" s="3" t="str">
        <f t="shared" si="379"/>
        <v>100</v>
      </c>
      <c r="G925" s="3" t="str">
        <f t="shared" si="382"/>
        <v>二级</v>
      </c>
    </row>
    <row r="926" customHeight="1" spans="1:7">
      <c r="A926" s="3" t="str">
        <f>"3325"</f>
        <v>3325</v>
      </c>
      <c r="B926" s="3" t="s">
        <v>2218</v>
      </c>
      <c r="C926" s="3" t="str">
        <f t="shared" si="384"/>
        <v>裕南街街道</v>
      </c>
      <c r="D926" s="3" t="str">
        <f>"长坡社区"</f>
        <v>长坡社区</v>
      </c>
      <c r="E926" s="3" t="str">
        <f t="shared" si="373"/>
        <v>140</v>
      </c>
      <c r="F926" s="3" t="str">
        <f t="shared" si="379"/>
        <v>100</v>
      </c>
      <c r="G926" s="3" t="str">
        <f>"一级"</f>
        <v>一级</v>
      </c>
    </row>
    <row r="927" customHeight="1" spans="1:7">
      <c r="A927" s="3" t="str">
        <f>"3326"</f>
        <v>3326</v>
      </c>
      <c r="B927" s="3" t="s">
        <v>2219</v>
      </c>
      <c r="C927" s="3" t="str">
        <f t="shared" si="384"/>
        <v>裕南街街道</v>
      </c>
      <c r="D927" s="3" t="str">
        <f>"向东南社区"</f>
        <v>向东南社区</v>
      </c>
      <c r="E927" s="3" t="str">
        <f t="shared" si="373"/>
        <v>140</v>
      </c>
      <c r="F927" s="3" t="str">
        <f t="shared" si="379"/>
        <v>100</v>
      </c>
      <c r="G927" s="3" t="str">
        <f t="shared" ref="G927:G929" si="385">"二级"</f>
        <v>二级</v>
      </c>
    </row>
    <row r="928" customHeight="1" spans="1:7">
      <c r="A928" s="3" t="str">
        <f>"3327"</f>
        <v>3327</v>
      </c>
      <c r="B928" s="3" t="s">
        <v>2220</v>
      </c>
      <c r="C928" s="3" t="str">
        <f>"坡子街街道"</f>
        <v>坡子街街道</v>
      </c>
      <c r="D928" s="3" t="str">
        <f>"登仁桥社区"</f>
        <v>登仁桥社区</v>
      </c>
      <c r="E928" s="3" t="str">
        <f t="shared" si="373"/>
        <v>140</v>
      </c>
      <c r="F928" s="3" t="str">
        <f t="shared" si="379"/>
        <v>100</v>
      </c>
      <c r="G928" s="3" t="str">
        <f t="shared" si="385"/>
        <v>二级</v>
      </c>
    </row>
    <row r="929" customHeight="1" spans="1:7">
      <c r="A929" s="3" t="str">
        <f>"3328"</f>
        <v>3328</v>
      </c>
      <c r="B929" s="3" t="s">
        <v>552</v>
      </c>
      <c r="C929" s="3" t="str">
        <f>"南托街道"</f>
        <v>南托街道</v>
      </c>
      <c r="D929" s="3" t="str">
        <f>"滨洲新村"</f>
        <v>滨洲新村</v>
      </c>
      <c r="E929" s="3" t="str">
        <f t="shared" si="373"/>
        <v>140</v>
      </c>
      <c r="F929" s="3" t="str">
        <f t="shared" si="379"/>
        <v>100</v>
      </c>
      <c r="G929" s="3" t="str">
        <f t="shared" si="385"/>
        <v>二级</v>
      </c>
    </row>
    <row r="930" customHeight="1" spans="1:7">
      <c r="A930" s="3" t="str">
        <f>"3329"</f>
        <v>3329</v>
      </c>
      <c r="B930" s="3" t="s">
        <v>126</v>
      </c>
      <c r="C930" s="3" t="str">
        <f>"大托铺街道"</f>
        <v>大托铺街道</v>
      </c>
      <c r="D930" s="3" t="str">
        <f>"兴隆村委会"</f>
        <v>兴隆村委会</v>
      </c>
      <c r="E930" s="3" t="str">
        <f t="shared" si="373"/>
        <v>140</v>
      </c>
      <c r="F930" s="3" t="str">
        <f>"0"</f>
        <v>0</v>
      </c>
      <c r="G930" s="3" t="str">
        <f>"四级"</f>
        <v>四级</v>
      </c>
    </row>
    <row r="931" customHeight="1" spans="1:7">
      <c r="A931" s="3" t="str">
        <f>"3330"</f>
        <v>3330</v>
      </c>
      <c r="B931" s="3" t="s">
        <v>2221</v>
      </c>
      <c r="C931" s="3" t="str">
        <f>"新开铺街道"</f>
        <v>新开铺街道</v>
      </c>
      <c r="D931" s="3" t="str">
        <f>"桥头社区"</f>
        <v>桥头社区</v>
      </c>
      <c r="E931" s="3" t="str">
        <f t="shared" si="373"/>
        <v>140</v>
      </c>
      <c r="F931" s="3" t="str">
        <f t="shared" ref="F931:F937" si="386">"100"</f>
        <v>100</v>
      </c>
      <c r="G931" s="3" t="str">
        <f t="shared" ref="G931:G933" si="387">"一级"</f>
        <v>一级</v>
      </c>
    </row>
    <row r="932" customHeight="1" spans="1:7">
      <c r="A932" s="3" t="str">
        <f>"3331"</f>
        <v>3331</v>
      </c>
      <c r="B932" s="3" t="s">
        <v>2222</v>
      </c>
      <c r="C932" s="3" t="str">
        <f>"赤岭路街道"</f>
        <v>赤岭路街道</v>
      </c>
      <c r="D932" s="3" t="str">
        <f>"新丰社区"</f>
        <v>新丰社区</v>
      </c>
      <c r="E932" s="3" t="str">
        <f t="shared" si="373"/>
        <v>140</v>
      </c>
      <c r="F932" s="3" t="str">
        <f t="shared" si="386"/>
        <v>100</v>
      </c>
      <c r="G932" s="3" t="str">
        <f t="shared" si="387"/>
        <v>一级</v>
      </c>
    </row>
    <row r="933" customHeight="1" spans="1:7">
      <c r="A933" s="3" t="str">
        <f>"3332"</f>
        <v>3332</v>
      </c>
      <c r="B933" s="3" t="s">
        <v>2223</v>
      </c>
      <c r="C933" s="3" t="str">
        <f>"坡子街街道"</f>
        <v>坡子街街道</v>
      </c>
      <c r="D933" s="3" t="str">
        <f>"登仁桥社区"</f>
        <v>登仁桥社区</v>
      </c>
      <c r="E933" s="3" t="str">
        <f t="shared" si="373"/>
        <v>140</v>
      </c>
      <c r="F933" s="3" t="str">
        <f t="shared" si="386"/>
        <v>100</v>
      </c>
      <c r="G933" s="3" t="str">
        <f t="shared" si="387"/>
        <v>一级</v>
      </c>
    </row>
    <row r="934" customHeight="1" spans="1:7">
      <c r="A934" s="3" t="str">
        <f>"3333"</f>
        <v>3333</v>
      </c>
      <c r="B934" s="3" t="s">
        <v>693</v>
      </c>
      <c r="C934" s="3" t="str">
        <f t="shared" ref="C934:C938" si="388">"裕南街街道"</f>
        <v>裕南街街道</v>
      </c>
      <c r="D934" s="3" t="str">
        <f>"长坡社区"</f>
        <v>长坡社区</v>
      </c>
      <c r="E934" s="3" t="str">
        <f t="shared" si="373"/>
        <v>140</v>
      </c>
      <c r="F934" s="3" t="str">
        <f t="shared" si="386"/>
        <v>100</v>
      </c>
      <c r="G934" s="3" t="str">
        <f t="shared" ref="G934:G936" si="389">"二级"</f>
        <v>二级</v>
      </c>
    </row>
    <row r="935" customHeight="1" spans="1:7">
      <c r="A935" s="3" t="str">
        <f>"3334"</f>
        <v>3334</v>
      </c>
      <c r="B935" s="3" t="s">
        <v>1519</v>
      </c>
      <c r="C935" s="3" t="str">
        <f>"南托街道"</f>
        <v>南托街道</v>
      </c>
      <c r="D935" s="3" t="str">
        <f>"沿江村"</f>
        <v>沿江村</v>
      </c>
      <c r="E935" s="3" t="str">
        <f t="shared" si="373"/>
        <v>140</v>
      </c>
      <c r="F935" s="3" t="str">
        <f t="shared" si="386"/>
        <v>100</v>
      </c>
      <c r="G935" s="3" t="str">
        <f t="shared" si="389"/>
        <v>二级</v>
      </c>
    </row>
    <row r="936" customHeight="1" spans="1:7">
      <c r="A936" s="3" t="str">
        <f>"3335"</f>
        <v>3335</v>
      </c>
      <c r="B936" s="3" t="s">
        <v>632</v>
      </c>
      <c r="C936" s="3" t="str">
        <f t="shared" si="388"/>
        <v>裕南街街道</v>
      </c>
      <c r="D936" s="3" t="str">
        <f>"石子冲社区"</f>
        <v>石子冲社区</v>
      </c>
      <c r="E936" s="3" t="str">
        <f t="shared" si="373"/>
        <v>140</v>
      </c>
      <c r="F936" s="3" t="str">
        <f t="shared" si="386"/>
        <v>100</v>
      </c>
      <c r="G936" s="3" t="str">
        <f t="shared" si="389"/>
        <v>二级</v>
      </c>
    </row>
    <row r="937" customHeight="1" spans="1:7">
      <c r="A937" s="3" t="str">
        <f>"3336"</f>
        <v>3336</v>
      </c>
      <c r="B937" s="3" t="s">
        <v>2224</v>
      </c>
      <c r="C937" s="3" t="str">
        <f>"黑石铺街道"</f>
        <v>黑石铺街道</v>
      </c>
      <c r="D937" s="3" t="str">
        <f>"一力社区"</f>
        <v>一力社区</v>
      </c>
      <c r="E937" s="3" t="str">
        <f t="shared" si="373"/>
        <v>140</v>
      </c>
      <c r="F937" s="3" t="str">
        <f t="shared" si="386"/>
        <v>100</v>
      </c>
      <c r="G937" s="3" t="str">
        <f t="shared" ref="G937:G943" si="390">"一级"</f>
        <v>一级</v>
      </c>
    </row>
    <row r="938" customHeight="1" spans="1:7">
      <c r="A938" s="3" t="str">
        <f>"3337"</f>
        <v>3337</v>
      </c>
      <c r="B938" s="3" t="s">
        <v>2225</v>
      </c>
      <c r="C938" s="3" t="str">
        <f t="shared" si="388"/>
        <v>裕南街街道</v>
      </c>
      <c r="D938" s="3" t="str">
        <f>"裕南街社区"</f>
        <v>裕南街社区</v>
      </c>
      <c r="E938" s="3" t="str">
        <f t="shared" si="373"/>
        <v>140</v>
      </c>
      <c r="F938" s="3" t="str">
        <f>"0"</f>
        <v>0</v>
      </c>
      <c r="G938" s="3" t="str">
        <f>"四级"</f>
        <v>四级</v>
      </c>
    </row>
    <row r="939" customHeight="1" spans="1:7">
      <c r="A939" s="3" t="str">
        <f>"3338"</f>
        <v>3338</v>
      </c>
      <c r="B939" s="3" t="s">
        <v>2226</v>
      </c>
      <c r="C939" s="3" t="str">
        <f>"金盆岭街道"</f>
        <v>金盆岭街道</v>
      </c>
      <c r="D939" s="3" t="str">
        <f>"夏家冲社区"</f>
        <v>夏家冲社区</v>
      </c>
      <c r="E939" s="3" t="str">
        <f t="shared" si="373"/>
        <v>140</v>
      </c>
      <c r="F939" s="3" t="str">
        <f t="shared" ref="F939:F943" si="391">"100"</f>
        <v>100</v>
      </c>
      <c r="G939" s="3" t="str">
        <f t="shared" si="390"/>
        <v>一级</v>
      </c>
    </row>
    <row r="940" customHeight="1" spans="1:7">
      <c r="A940" s="3" t="str">
        <f>"3339"</f>
        <v>3339</v>
      </c>
      <c r="B940" s="3" t="s">
        <v>651</v>
      </c>
      <c r="C940" s="3" t="str">
        <f>"金盆岭街道"</f>
        <v>金盆岭街道</v>
      </c>
      <c r="D940" s="3" t="str">
        <f>"夏家冲社区"</f>
        <v>夏家冲社区</v>
      </c>
      <c r="E940" s="3" t="str">
        <f t="shared" si="373"/>
        <v>140</v>
      </c>
      <c r="F940" s="3" t="str">
        <f t="shared" si="391"/>
        <v>100</v>
      </c>
      <c r="G940" s="3" t="str">
        <f>"二级"</f>
        <v>二级</v>
      </c>
    </row>
    <row r="941" customHeight="1" spans="1:7">
      <c r="A941" s="3" t="str">
        <f>"3340"</f>
        <v>3340</v>
      </c>
      <c r="B941" s="3" t="s">
        <v>834</v>
      </c>
      <c r="C941" s="3" t="str">
        <f>"新开铺街道"</f>
        <v>新开铺街道</v>
      </c>
      <c r="D941" s="3" t="str">
        <f>"豹子岭社区"</f>
        <v>豹子岭社区</v>
      </c>
      <c r="E941" s="3" t="str">
        <f t="shared" si="373"/>
        <v>140</v>
      </c>
      <c r="F941" s="3" t="str">
        <f t="shared" si="391"/>
        <v>100</v>
      </c>
      <c r="G941" s="3" t="str">
        <f t="shared" si="390"/>
        <v>一级</v>
      </c>
    </row>
    <row r="942" customHeight="1" spans="1:7">
      <c r="A942" s="3" t="str">
        <f>"3341"</f>
        <v>3341</v>
      </c>
      <c r="B942" s="3" t="s">
        <v>978</v>
      </c>
      <c r="C942" s="3" t="str">
        <f>"南托街道"</f>
        <v>南托街道</v>
      </c>
      <c r="D942" s="3" t="str">
        <f>"融城社区"</f>
        <v>融城社区</v>
      </c>
      <c r="E942" s="3" t="str">
        <f t="shared" si="373"/>
        <v>140</v>
      </c>
      <c r="F942" s="3" t="str">
        <f t="shared" si="391"/>
        <v>100</v>
      </c>
      <c r="G942" s="3" t="str">
        <f t="shared" si="390"/>
        <v>一级</v>
      </c>
    </row>
    <row r="943" customHeight="1" spans="1:7">
      <c r="A943" s="3" t="str">
        <f>"3342"</f>
        <v>3342</v>
      </c>
      <c r="B943" s="3" t="s">
        <v>2168</v>
      </c>
      <c r="C943" s="3" t="str">
        <f>"裕南街街道"</f>
        <v>裕南街街道</v>
      </c>
      <c r="D943" s="3" t="str">
        <f>"向东南社区"</f>
        <v>向东南社区</v>
      </c>
      <c r="E943" s="3" t="str">
        <f t="shared" si="373"/>
        <v>140</v>
      </c>
      <c r="F943" s="3" t="str">
        <f t="shared" si="391"/>
        <v>100</v>
      </c>
      <c r="G943" s="3" t="str">
        <f t="shared" si="390"/>
        <v>一级</v>
      </c>
    </row>
    <row r="944" customHeight="1" spans="1:7">
      <c r="A944" s="3" t="str">
        <f>"3343"</f>
        <v>3343</v>
      </c>
      <c r="B944" s="3" t="s">
        <v>2227</v>
      </c>
      <c r="C944" s="3" t="str">
        <f t="shared" ref="C944:C950" si="392">"坡子街街道"</f>
        <v>坡子街街道</v>
      </c>
      <c r="D944" s="3" t="str">
        <f>"登仁桥社区"</f>
        <v>登仁桥社区</v>
      </c>
      <c r="E944" s="3" t="str">
        <f t="shared" si="373"/>
        <v>140</v>
      </c>
      <c r="F944" s="3" t="str">
        <f t="shared" ref="F944:F949" si="393">"0"</f>
        <v>0</v>
      </c>
      <c r="G944" s="3" t="str">
        <f>"四级"</f>
        <v>四级</v>
      </c>
    </row>
    <row r="945" customHeight="1" spans="1:7">
      <c r="A945" s="3" t="str">
        <f>"3344"</f>
        <v>3344</v>
      </c>
      <c r="B945" s="3" t="s">
        <v>249</v>
      </c>
      <c r="C945" s="3" t="str">
        <f>"城南路街道"</f>
        <v>城南路街道</v>
      </c>
      <c r="D945" s="3" t="str">
        <f>"熙台岭社区"</f>
        <v>熙台岭社区</v>
      </c>
      <c r="E945" s="3" t="str">
        <f t="shared" si="373"/>
        <v>140</v>
      </c>
      <c r="F945" s="3" t="str">
        <f t="shared" ref="F945:F948" si="394">"100"</f>
        <v>100</v>
      </c>
      <c r="G945" s="3" t="str">
        <f t="shared" ref="G945:G948" si="395">"二级"</f>
        <v>二级</v>
      </c>
    </row>
    <row r="946" customHeight="1" spans="1:7">
      <c r="A946" s="3" t="str">
        <f>"3345"</f>
        <v>3345</v>
      </c>
      <c r="B946" s="3" t="s">
        <v>80</v>
      </c>
      <c r="C946" s="3" t="str">
        <f t="shared" si="392"/>
        <v>坡子街街道</v>
      </c>
      <c r="D946" s="3" t="str">
        <f t="shared" ref="D946:D949" si="396">"坡子街社区"</f>
        <v>坡子街社区</v>
      </c>
      <c r="E946" s="3" t="str">
        <f t="shared" si="373"/>
        <v>140</v>
      </c>
      <c r="F946" s="3" t="str">
        <f t="shared" si="393"/>
        <v>0</v>
      </c>
      <c r="G946" s="3" t="str">
        <f>"三级"</f>
        <v>三级</v>
      </c>
    </row>
    <row r="947" customHeight="1" spans="1:7">
      <c r="A947" s="3" t="str">
        <f>"3346"</f>
        <v>3346</v>
      </c>
      <c r="B947" s="3" t="s">
        <v>2228</v>
      </c>
      <c r="C947" s="3" t="str">
        <f>"赤岭路街道"</f>
        <v>赤岭路街道</v>
      </c>
      <c r="D947" s="3" t="str">
        <f>"南大桥社区"</f>
        <v>南大桥社区</v>
      </c>
      <c r="E947" s="3" t="str">
        <f t="shared" si="373"/>
        <v>140</v>
      </c>
      <c r="F947" s="3" t="str">
        <f t="shared" si="394"/>
        <v>100</v>
      </c>
      <c r="G947" s="3" t="str">
        <f t="shared" si="395"/>
        <v>二级</v>
      </c>
    </row>
    <row r="948" customHeight="1" spans="1:7">
      <c r="A948" s="3" t="str">
        <f>"3347"</f>
        <v>3347</v>
      </c>
      <c r="B948" s="3" t="s">
        <v>420</v>
      </c>
      <c r="C948" s="3" t="str">
        <f t="shared" si="392"/>
        <v>坡子街街道</v>
      </c>
      <c r="D948" s="3" t="str">
        <f t="shared" si="396"/>
        <v>坡子街社区</v>
      </c>
      <c r="E948" s="3" t="str">
        <f t="shared" si="373"/>
        <v>140</v>
      </c>
      <c r="F948" s="3" t="str">
        <f t="shared" si="394"/>
        <v>100</v>
      </c>
      <c r="G948" s="3" t="str">
        <f t="shared" si="395"/>
        <v>二级</v>
      </c>
    </row>
    <row r="949" customHeight="1" spans="1:7">
      <c r="A949" s="3" t="str">
        <f>"3348"</f>
        <v>3348</v>
      </c>
      <c r="B949" s="3" t="s">
        <v>39</v>
      </c>
      <c r="C949" s="3" t="str">
        <f t="shared" si="392"/>
        <v>坡子街街道</v>
      </c>
      <c r="D949" s="3" t="str">
        <f t="shared" si="396"/>
        <v>坡子街社区</v>
      </c>
      <c r="E949" s="3" t="str">
        <f t="shared" si="373"/>
        <v>140</v>
      </c>
      <c r="F949" s="3" t="str">
        <f t="shared" si="393"/>
        <v>0</v>
      </c>
      <c r="G949" s="3" t="str">
        <f>"四级"</f>
        <v>四级</v>
      </c>
    </row>
    <row r="950" customHeight="1" spans="1:7">
      <c r="A950" s="3" t="str">
        <f>"3349"</f>
        <v>3349</v>
      </c>
      <c r="B950" s="3" t="s">
        <v>2229</v>
      </c>
      <c r="C950" s="3" t="str">
        <f t="shared" si="392"/>
        <v>坡子街街道</v>
      </c>
      <c r="D950" s="3" t="str">
        <f>"青山祠社区"</f>
        <v>青山祠社区</v>
      </c>
      <c r="E950" s="3" t="str">
        <f t="shared" si="373"/>
        <v>140</v>
      </c>
      <c r="F950" s="3" t="str">
        <f t="shared" ref="F950:F959" si="397">"100"</f>
        <v>100</v>
      </c>
      <c r="G950" s="3" t="str">
        <f t="shared" ref="G950:G954" si="398">"二级"</f>
        <v>二级</v>
      </c>
    </row>
    <row r="951" customHeight="1" spans="1:7">
      <c r="A951" s="3" t="str">
        <f>"3350"</f>
        <v>3350</v>
      </c>
      <c r="B951" s="3" t="s">
        <v>112</v>
      </c>
      <c r="C951" s="3" t="str">
        <f>"黑石铺街道"</f>
        <v>黑石铺街道</v>
      </c>
      <c r="D951" s="3" t="str">
        <f>"一力社区"</f>
        <v>一力社区</v>
      </c>
      <c r="E951" s="3" t="str">
        <f t="shared" si="373"/>
        <v>140</v>
      </c>
      <c r="F951" s="3" t="str">
        <f t="shared" si="397"/>
        <v>100</v>
      </c>
      <c r="G951" s="3" t="str">
        <f t="shared" ref="G951:G955" si="399">"一级"</f>
        <v>一级</v>
      </c>
    </row>
    <row r="952" customHeight="1" spans="1:7">
      <c r="A952" s="3" t="str">
        <f>"3351"</f>
        <v>3351</v>
      </c>
      <c r="B952" s="3" t="s">
        <v>2230</v>
      </c>
      <c r="C952" s="3" t="str">
        <f>"金盆岭街道"</f>
        <v>金盆岭街道</v>
      </c>
      <c r="D952" s="3" t="str">
        <f>"涂新社区"</f>
        <v>涂新社区</v>
      </c>
      <c r="E952" s="3" t="str">
        <f t="shared" si="373"/>
        <v>140</v>
      </c>
      <c r="F952" s="3" t="str">
        <f t="shared" si="397"/>
        <v>100</v>
      </c>
      <c r="G952" s="3" t="str">
        <f t="shared" si="398"/>
        <v>二级</v>
      </c>
    </row>
    <row r="953" customHeight="1" spans="1:7">
      <c r="A953" s="3" t="str">
        <f>"3352"</f>
        <v>3352</v>
      </c>
      <c r="B953" s="3" t="s">
        <v>32</v>
      </c>
      <c r="C953" s="3" t="str">
        <f t="shared" ref="C953:C960" si="400">"裕南街街道"</f>
        <v>裕南街街道</v>
      </c>
      <c r="D953" s="3" t="str">
        <f t="shared" ref="D953:D960" si="401">"宝塔山社区"</f>
        <v>宝塔山社区</v>
      </c>
      <c r="E953" s="3" t="str">
        <f t="shared" si="373"/>
        <v>140</v>
      </c>
      <c r="F953" s="3" t="str">
        <f t="shared" si="397"/>
        <v>100</v>
      </c>
      <c r="G953" s="3" t="str">
        <f t="shared" si="399"/>
        <v>一级</v>
      </c>
    </row>
    <row r="954" customHeight="1" spans="1:7">
      <c r="A954" s="3" t="str">
        <f>"3353"</f>
        <v>3353</v>
      </c>
      <c r="B954" s="3" t="s">
        <v>878</v>
      </c>
      <c r="C954" s="3" t="str">
        <f>"桂花坪街道"</f>
        <v>桂花坪街道</v>
      </c>
      <c r="D954" s="3" t="str">
        <f>"九峰苑社区"</f>
        <v>九峰苑社区</v>
      </c>
      <c r="E954" s="3" t="str">
        <f t="shared" si="373"/>
        <v>140</v>
      </c>
      <c r="F954" s="3" t="str">
        <f t="shared" si="397"/>
        <v>100</v>
      </c>
      <c r="G954" s="3" t="str">
        <f t="shared" si="398"/>
        <v>二级</v>
      </c>
    </row>
    <row r="955" customHeight="1" spans="1:7">
      <c r="A955" s="3" t="str">
        <f>"3354"</f>
        <v>3354</v>
      </c>
      <c r="B955" s="3" t="s">
        <v>2231</v>
      </c>
      <c r="C955" s="3" t="str">
        <f>"暮云街道"</f>
        <v>暮云街道</v>
      </c>
      <c r="D955" s="3" t="str">
        <f>"卢浮社区"</f>
        <v>卢浮社区</v>
      </c>
      <c r="E955" s="3" t="str">
        <f t="shared" si="373"/>
        <v>140</v>
      </c>
      <c r="F955" s="3" t="str">
        <f t="shared" si="397"/>
        <v>100</v>
      </c>
      <c r="G955" s="3" t="str">
        <f t="shared" si="399"/>
        <v>一级</v>
      </c>
    </row>
    <row r="956" customHeight="1" spans="1:7">
      <c r="A956" s="3" t="str">
        <f>"3355"</f>
        <v>3355</v>
      </c>
      <c r="B956" s="3" t="s">
        <v>2232</v>
      </c>
      <c r="C956" s="3" t="str">
        <f>"文源街道"</f>
        <v>文源街道</v>
      </c>
      <c r="D956" s="3" t="str">
        <f>"梅岭社区"</f>
        <v>梅岭社区</v>
      </c>
      <c r="E956" s="3" t="str">
        <f t="shared" si="373"/>
        <v>140</v>
      </c>
      <c r="F956" s="3" t="str">
        <f t="shared" si="397"/>
        <v>100</v>
      </c>
      <c r="G956" s="3" t="str">
        <f>"二级"</f>
        <v>二级</v>
      </c>
    </row>
    <row r="957" customHeight="1" spans="1:7">
      <c r="A957" s="3" t="str">
        <f>"3356"</f>
        <v>3356</v>
      </c>
      <c r="B957" s="3" t="s">
        <v>126</v>
      </c>
      <c r="C957" s="3" t="str">
        <f t="shared" si="400"/>
        <v>裕南街街道</v>
      </c>
      <c r="D957" s="3" t="str">
        <f t="shared" si="401"/>
        <v>宝塔山社区</v>
      </c>
      <c r="E957" s="3" t="str">
        <f t="shared" si="373"/>
        <v>140</v>
      </c>
      <c r="F957" s="3" t="str">
        <f t="shared" si="397"/>
        <v>100</v>
      </c>
      <c r="G957" s="3" t="str">
        <f>"一级"</f>
        <v>一级</v>
      </c>
    </row>
    <row r="958" customHeight="1" spans="1:7">
      <c r="A958" s="3" t="str">
        <f>"3357"</f>
        <v>3357</v>
      </c>
      <c r="B958" s="3" t="s">
        <v>672</v>
      </c>
      <c r="C958" s="3" t="str">
        <f t="shared" si="400"/>
        <v>裕南街街道</v>
      </c>
      <c r="D958" s="3" t="str">
        <f t="shared" si="401"/>
        <v>宝塔山社区</v>
      </c>
      <c r="E958" s="3" t="str">
        <f t="shared" si="373"/>
        <v>140</v>
      </c>
      <c r="F958" s="3" t="str">
        <f t="shared" si="397"/>
        <v>100</v>
      </c>
      <c r="G958" s="3" t="str">
        <f t="shared" ref="G958:G965" si="402">"二级"</f>
        <v>二级</v>
      </c>
    </row>
    <row r="959" customHeight="1" spans="1:7">
      <c r="A959" s="3" t="str">
        <f>"3358"</f>
        <v>3358</v>
      </c>
      <c r="B959" s="3" t="s">
        <v>2233</v>
      </c>
      <c r="C959" s="3" t="str">
        <f t="shared" si="400"/>
        <v>裕南街街道</v>
      </c>
      <c r="D959" s="3" t="str">
        <f t="shared" si="401"/>
        <v>宝塔山社区</v>
      </c>
      <c r="E959" s="3" t="str">
        <f t="shared" si="373"/>
        <v>140</v>
      </c>
      <c r="F959" s="3" t="str">
        <f t="shared" si="397"/>
        <v>100</v>
      </c>
      <c r="G959" s="3" t="str">
        <f>"一级"</f>
        <v>一级</v>
      </c>
    </row>
    <row r="960" customHeight="1" spans="1:7">
      <c r="A960" s="3" t="str">
        <f>"3359"</f>
        <v>3359</v>
      </c>
      <c r="B960" s="3" t="s">
        <v>2234</v>
      </c>
      <c r="C960" s="3" t="str">
        <f t="shared" si="400"/>
        <v>裕南街街道</v>
      </c>
      <c r="D960" s="3" t="str">
        <f t="shared" si="401"/>
        <v>宝塔山社区</v>
      </c>
      <c r="E960" s="3" t="str">
        <f t="shared" si="373"/>
        <v>140</v>
      </c>
      <c r="F960" s="3" t="str">
        <f>"0"</f>
        <v>0</v>
      </c>
      <c r="G960" s="3" t="str">
        <f>"三级"</f>
        <v>三级</v>
      </c>
    </row>
    <row r="961" customHeight="1" spans="1:7">
      <c r="A961" s="3" t="str">
        <f>"3360"</f>
        <v>3360</v>
      </c>
      <c r="B961" s="3" t="s">
        <v>2235</v>
      </c>
      <c r="C961" s="3" t="str">
        <f>"黑石铺街道"</f>
        <v>黑石铺街道</v>
      </c>
      <c r="D961" s="3" t="str">
        <f>"黑石铺社区"</f>
        <v>黑石铺社区</v>
      </c>
      <c r="E961" s="3" t="str">
        <f t="shared" si="373"/>
        <v>140</v>
      </c>
      <c r="F961" s="3" t="str">
        <f>"0"</f>
        <v>0</v>
      </c>
      <c r="G961" s="3" t="str">
        <f>"四级"</f>
        <v>四级</v>
      </c>
    </row>
    <row r="962" customHeight="1" spans="1:7">
      <c r="A962" s="3" t="str">
        <f>"3361"</f>
        <v>3361</v>
      </c>
      <c r="B962" s="3" t="s">
        <v>54</v>
      </c>
      <c r="C962" s="3" t="str">
        <f t="shared" ref="C962:C964" si="403">"裕南街街道"</f>
        <v>裕南街街道</v>
      </c>
      <c r="D962" s="3" t="str">
        <f>"仰天湖社区"</f>
        <v>仰天湖社区</v>
      </c>
      <c r="E962" s="3" t="str">
        <f t="shared" ref="E962:E1025" si="404">"140"</f>
        <v>140</v>
      </c>
      <c r="F962" s="3" t="str">
        <f t="shared" ref="F962:F965" si="405">"100"</f>
        <v>100</v>
      </c>
      <c r="G962" s="3" t="str">
        <f t="shared" si="402"/>
        <v>二级</v>
      </c>
    </row>
    <row r="963" customHeight="1" spans="1:7">
      <c r="A963" s="3" t="str">
        <f>"3362"</f>
        <v>3362</v>
      </c>
      <c r="B963" s="3" t="s">
        <v>2236</v>
      </c>
      <c r="C963" s="3" t="str">
        <f t="shared" si="403"/>
        <v>裕南街街道</v>
      </c>
      <c r="D963" s="3" t="str">
        <f>"东瓜山社区"</f>
        <v>东瓜山社区</v>
      </c>
      <c r="E963" s="3" t="str">
        <f t="shared" si="404"/>
        <v>140</v>
      </c>
      <c r="F963" s="3" t="str">
        <f t="shared" si="405"/>
        <v>100</v>
      </c>
      <c r="G963" s="3" t="str">
        <f t="shared" si="402"/>
        <v>二级</v>
      </c>
    </row>
    <row r="964" customHeight="1" spans="1:7">
      <c r="A964" s="3" t="str">
        <f>"3363"</f>
        <v>3363</v>
      </c>
      <c r="B964" s="3" t="s">
        <v>2237</v>
      </c>
      <c r="C964" s="3" t="str">
        <f t="shared" si="403"/>
        <v>裕南街街道</v>
      </c>
      <c r="D964" s="3" t="str">
        <f>"碧沙湖社区"</f>
        <v>碧沙湖社区</v>
      </c>
      <c r="E964" s="3" t="str">
        <f t="shared" si="404"/>
        <v>140</v>
      </c>
      <c r="F964" s="3" t="str">
        <f t="shared" si="405"/>
        <v>100</v>
      </c>
      <c r="G964" s="3" t="str">
        <f t="shared" si="402"/>
        <v>二级</v>
      </c>
    </row>
    <row r="965" customHeight="1" spans="1:7">
      <c r="A965" s="3" t="str">
        <f>"3364"</f>
        <v>3364</v>
      </c>
      <c r="B965" s="3" t="s">
        <v>1260</v>
      </c>
      <c r="C965" s="3" t="str">
        <f>"黑石铺街道"</f>
        <v>黑石铺街道</v>
      </c>
      <c r="D965" s="3" t="str">
        <f>"铭安社区"</f>
        <v>铭安社区</v>
      </c>
      <c r="E965" s="3" t="str">
        <f t="shared" si="404"/>
        <v>140</v>
      </c>
      <c r="F965" s="3" t="str">
        <f t="shared" si="405"/>
        <v>100</v>
      </c>
      <c r="G965" s="3" t="str">
        <f t="shared" si="402"/>
        <v>二级</v>
      </c>
    </row>
    <row r="966" customHeight="1" spans="1:7">
      <c r="A966" s="3" t="str">
        <f>"3365"</f>
        <v>3365</v>
      </c>
      <c r="B966" s="3" t="s">
        <v>693</v>
      </c>
      <c r="C966" s="3" t="str">
        <f>"裕南街街道"</f>
        <v>裕南街街道</v>
      </c>
      <c r="D966" s="3" t="str">
        <f>"火把山社区"</f>
        <v>火把山社区</v>
      </c>
      <c r="E966" s="3" t="str">
        <f t="shared" si="404"/>
        <v>140</v>
      </c>
      <c r="F966" s="3" t="str">
        <f>"0"</f>
        <v>0</v>
      </c>
      <c r="G966" s="3" t="str">
        <f>"四级"</f>
        <v>四级</v>
      </c>
    </row>
    <row r="967" customHeight="1" spans="1:7">
      <c r="A967" s="3" t="str">
        <f>"3366"</f>
        <v>3366</v>
      </c>
      <c r="B967" s="3" t="s">
        <v>2238</v>
      </c>
      <c r="C967" s="3" t="str">
        <f>"桂花坪街道"</f>
        <v>桂花坪街道</v>
      </c>
      <c r="D967" s="3" t="str">
        <f>"九峰苑社区"</f>
        <v>九峰苑社区</v>
      </c>
      <c r="E967" s="3" t="str">
        <f t="shared" si="404"/>
        <v>140</v>
      </c>
      <c r="F967" s="3" t="str">
        <f t="shared" ref="F967:F970" si="406">"100"</f>
        <v>100</v>
      </c>
      <c r="G967" s="3" t="str">
        <f t="shared" ref="G967:G969" si="407">"二级"</f>
        <v>二级</v>
      </c>
    </row>
    <row r="968" customHeight="1" spans="1:7">
      <c r="A968" s="3" t="str">
        <f>"3367"</f>
        <v>3367</v>
      </c>
      <c r="B968" s="3" t="s">
        <v>527</v>
      </c>
      <c r="C968" s="3" t="str">
        <f>"新开铺街道"</f>
        <v>新开铺街道</v>
      </c>
      <c r="D968" s="3" t="str">
        <f>"豹子岭社区"</f>
        <v>豹子岭社区</v>
      </c>
      <c r="E968" s="3" t="str">
        <f t="shared" si="404"/>
        <v>140</v>
      </c>
      <c r="F968" s="3" t="str">
        <f t="shared" si="406"/>
        <v>100</v>
      </c>
      <c r="G968" s="3" t="str">
        <f t="shared" si="407"/>
        <v>二级</v>
      </c>
    </row>
    <row r="969" customHeight="1" spans="1:7">
      <c r="A969" s="3" t="str">
        <f>"3368"</f>
        <v>3368</v>
      </c>
      <c r="B969" s="3" t="s">
        <v>1896</v>
      </c>
      <c r="C969" s="3" t="str">
        <f>"大托铺街道"</f>
        <v>大托铺街道</v>
      </c>
      <c r="D969" s="3" t="str">
        <f>"新港村委会"</f>
        <v>新港村委会</v>
      </c>
      <c r="E969" s="3" t="str">
        <f t="shared" si="404"/>
        <v>140</v>
      </c>
      <c r="F969" s="3" t="str">
        <f t="shared" si="406"/>
        <v>100</v>
      </c>
      <c r="G969" s="3" t="str">
        <f t="shared" si="407"/>
        <v>二级</v>
      </c>
    </row>
    <row r="970" customHeight="1" spans="1:7">
      <c r="A970" s="3" t="str">
        <f>"3369"</f>
        <v>3369</v>
      </c>
      <c r="B970" s="3" t="s">
        <v>267</v>
      </c>
      <c r="C970" s="3" t="str">
        <f>"城南路街道"</f>
        <v>城南路街道</v>
      </c>
      <c r="D970" s="3" t="str">
        <f>"天心阁社区"</f>
        <v>天心阁社区</v>
      </c>
      <c r="E970" s="3" t="str">
        <f t="shared" si="404"/>
        <v>140</v>
      </c>
      <c r="F970" s="3" t="str">
        <f t="shared" si="406"/>
        <v>100</v>
      </c>
      <c r="G970" s="3" t="str">
        <f>"一级"</f>
        <v>一级</v>
      </c>
    </row>
    <row r="971" customHeight="1" spans="1:7">
      <c r="A971" s="3" t="str">
        <f>"3370"</f>
        <v>3370</v>
      </c>
      <c r="B971" s="3" t="s">
        <v>2239</v>
      </c>
      <c r="C971" s="3" t="str">
        <f>"金盆岭街道"</f>
        <v>金盆岭街道</v>
      </c>
      <c r="D971" s="3" t="str">
        <f>"天剑社区"</f>
        <v>天剑社区</v>
      </c>
      <c r="E971" s="3" t="str">
        <f t="shared" si="404"/>
        <v>140</v>
      </c>
      <c r="F971" s="3" t="str">
        <f>"0"</f>
        <v>0</v>
      </c>
      <c r="G971" s="3" t="str">
        <f>"四级"</f>
        <v>四级</v>
      </c>
    </row>
    <row r="972" customHeight="1" spans="1:7">
      <c r="A972" s="3" t="str">
        <f>"3371"</f>
        <v>3371</v>
      </c>
      <c r="B972" s="3" t="s">
        <v>734</v>
      </c>
      <c r="C972" s="3" t="str">
        <f t="shared" ref="C972:C975" si="408">"坡子街街道"</f>
        <v>坡子街街道</v>
      </c>
      <c r="D972" s="3" t="str">
        <f>"楚湘社区"</f>
        <v>楚湘社区</v>
      </c>
      <c r="E972" s="3" t="str">
        <f t="shared" si="404"/>
        <v>140</v>
      </c>
      <c r="F972" s="3" t="str">
        <f t="shared" ref="F972:F974" si="409">"100"</f>
        <v>100</v>
      </c>
      <c r="G972" s="3" t="str">
        <f t="shared" ref="G972:G974" si="410">"二级"</f>
        <v>二级</v>
      </c>
    </row>
    <row r="973" customHeight="1" spans="1:7">
      <c r="A973" s="3" t="str">
        <f>"3372"</f>
        <v>3372</v>
      </c>
      <c r="B973" s="3" t="s">
        <v>818</v>
      </c>
      <c r="C973" s="3" t="str">
        <f t="shared" si="408"/>
        <v>坡子街街道</v>
      </c>
      <c r="D973" s="3" t="str">
        <f>"登仁桥社区"</f>
        <v>登仁桥社区</v>
      </c>
      <c r="E973" s="3" t="str">
        <f t="shared" si="404"/>
        <v>140</v>
      </c>
      <c r="F973" s="3" t="str">
        <f t="shared" si="409"/>
        <v>100</v>
      </c>
      <c r="G973" s="3" t="str">
        <f t="shared" si="410"/>
        <v>二级</v>
      </c>
    </row>
    <row r="974" customHeight="1" spans="1:7">
      <c r="A974" s="3" t="str">
        <f>"3373"</f>
        <v>3373</v>
      </c>
      <c r="B974" s="3" t="s">
        <v>2240</v>
      </c>
      <c r="C974" s="3" t="str">
        <f>"文源街道"</f>
        <v>文源街道</v>
      </c>
      <c r="D974" s="3" t="str">
        <f>"金汇社区"</f>
        <v>金汇社区</v>
      </c>
      <c r="E974" s="3" t="str">
        <f t="shared" si="404"/>
        <v>140</v>
      </c>
      <c r="F974" s="3" t="str">
        <f t="shared" si="409"/>
        <v>100</v>
      </c>
      <c r="G974" s="3" t="str">
        <f t="shared" si="410"/>
        <v>二级</v>
      </c>
    </row>
    <row r="975" customHeight="1" spans="1:7">
      <c r="A975" s="3" t="str">
        <f>"3374"</f>
        <v>3374</v>
      </c>
      <c r="B975" s="3" t="s">
        <v>2241</v>
      </c>
      <c r="C975" s="3" t="str">
        <f t="shared" si="408"/>
        <v>坡子街街道</v>
      </c>
      <c r="D975" s="3" t="str">
        <f>"西湖社区"</f>
        <v>西湖社区</v>
      </c>
      <c r="E975" s="3" t="str">
        <f t="shared" si="404"/>
        <v>140</v>
      </c>
      <c r="F975" s="3" t="str">
        <f>"0"</f>
        <v>0</v>
      </c>
      <c r="G975" s="3" t="str">
        <f>"四级"</f>
        <v>四级</v>
      </c>
    </row>
    <row r="976" customHeight="1" spans="1:7">
      <c r="A976" s="3" t="str">
        <f>"3375"</f>
        <v>3375</v>
      </c>
      <c r="B976" s="3" t="s">
        <v>2242</v>
      </c>
      <c r="C976" s="3" t="str">
        <f>"南托街道"</f>
        <v>南托街道</v>
      </c>
      <c r="D976" s="3" t="str">
        <f>"牛角塘村"</f>
        <v>牛角塘村</v>
      </c>
      <c r="E976" s="3" t="str">
        <f t="shared" si="404"/>
        <v>140</v>
      </c>
      <c r="F976" s="3" t="str">
        <f t="shared" ref="F976:F983" si="411">"100"</f>
        <v>100</v>
      </c>
      <c r="G976" s="3" t="str">
        <f t="shared" ref="G976:G980" si="412">"二级"</f>
        <v>二级</v>
      </c>
    </row>
    <row r="977" customHeight="1" spans="1:7">
      <c r="A977" s="3" t="str">
        <f>"3376"</f>
        <v>3376</v>
      </c>
      <c r="B977" s="3" t="s">
        <v>2243</v>
      </c>
      <c r="C977" s="3" t="str">
        <f>"大托铺街道"</f>
        <v>大托铺街道</v>
      </c>
      <c r="D977" s="3" t="str">
        <f>"黄合村委会"</f>
        <v>黄合村委会</v>
      </c>
      <c r="E977" s="3" t="str">
        <f t="shared" si="404"/>
        <v>140</v>
      </c>
      <c r="F977" s="3" t="str">
        <f t="shared" si="411"/>
        <v>100</v>
      </c>
      <c r="G977" s="3" t="str">
        <f t="shared" si="412"/>
        <v>二级</v>
      </c>
    </row>
    <row r="978" customHeight="1" spans="1:7">
      <c r="A978" s="3" t="str">
        <f>"3377"</f>
        <v>3377</v>
      </c>
      <c r="B978" s="3" t="s">
        <v>2244</v>
      </c>
      <c r="C978" s="3" t="str">
        <f>"大托铺街道"</f>
        <v>大托铺街道</v>
      </c>
      <c r="D978" s="3" t="str">
        <f>"桂井村委会"</f>
        <v>桂井村委会</v>
      </c>
      <c r="E978" s="3" t="str">
        <f t="shared" si="404"/>
        <v>140</v>
      </c>
      <c r="F978" s="3" t="str">
        <f t="shared" si="411"/>
        <v>100</v>
      </c>
      <c r="G978" s="3" t="str">
        <f t="shared" si="412"/>
        <v>二级</v>
      </c>
    </row>
    <row r="979" customHeight="1" spans="1:7">
      <c r="A979" s="3" t="str">
        <f>"3378"</f>
        <v>3378</v>
      </c>
      <c r="B979" s="3" t="s">
        <v>2245</v>
      </c>
      <c r="C979" s="3" t="str">
        <f>"先锋街道"</f>
        <v>先锋街道</v>
      </c>
      <c r="D979" s="3" t="str">
        <f>"新宇社区"</f>
        <v>新宇社区</v>
      </c>
      <c r="E979" s="3" t="str">
        <f t="shared" si="404"/>
        <v>140</v>
      </c>
      <c r="F979" s="3" t="str">
        <f t="shared" si="411"/>
        <v>100</v>
      </c>
      <c r="G979" s="3" t="str">
        <f t="shared" si="412"/>
        <v>二级</v>
      </c>
    </row>
    <row r="980" customHeight="1" spans="1:7">
      <c r="A980" s="3" t="str">
        <f>"3379"</f>
        <v>3379</v>
      </c>
      <c r="B980" s="3" t="s">
        <v>2246</v>
      </c>
      <c r="C980" s="3" t="str">
        <f>"裕南街街道"</f>
        <v>裕南街街道</v>
      </c>
      <c r="D980" s="3" t="str">
        <f>"南站社区"</f>
        <v>南站社区</v>
      </c>
      <c r="E980" s="3" t="str">
        <f t="shared" si="404"/>
        <v>140</v>
      </c>
      <c r="F980" s="3" t="str">
        <f t="shared" si="411"/>
        <v>100</v>
      </c>
      <c r="G980" s="3" t="str">
        <f t="shared" si="412"/>
        <v>二级</v>
      </c>
    </row>
    <row r="981" customHeight="1" spans="1:7">
      <c r="A981" s="3" t="str">
        <f>"3380"</f>
        <v>3380</v>
      </c>
      <c r="B981" s="3" t="s">
        <v>2247</v>
      </c>
      <c r="C981" s="3" t="str">
        <f t="shared" ref="C981:C983" si="413">"金盆岭街道"</f>
        <v>金盆岭街道</v>
      </c>
      <c r="D981" s="3" t="str">
        <f>"黄土岭社区"</f>
        <v>黄土岭社区</v>
      </c>
      <c r="E981" s="3" t="str">
        <f t="shared" si="404"/>
        <v>140</v>
      </c>
      <c r="F981" s="3" t="str">
        <f t="shared" si="411"/>
        <v>100</v>
      </c>
      <c r="G981" s="3" t="str">
        <f t="shared" ref="G981:G986" si="414">"一级"</f>
        <v>一级</v>
      </c>
    </row>
    <row r="982" customHeight="1" spans="1:7">
      <c r="A982" s="3" t="str">
        <f>"3381"</f>
        <v>3381</v>
      </c>
      <c r="B982" s="3" t="s">
        <v>2248</v>
      </c>
      <c r="C982" s="3" t="str">
        <f t="shared" si="413"/>
        <v>金盆岭街道</v>
      </c>
      <c r="D982" s="3" t="str">
        <f>"黄土岭社区"</f>
        <v>黄土岭社区</v>
      </c>
      <c r="E982" s="3" t="str">
        <f t="shared" si="404"/>
        <v>140</v>
      </c>
      <c r="F982" s="3" t="str">
        <f t="shared" si="411"/>
        <v>100</v>
      </c>
      <c r="G982" s="3" t="str">
        <f t="shared" ref="G982:G987" si="415">"二级"</f>
        <v>二级</v>
      </c>
    </row>
    <row r="983" customHeight="1" spans="1:7">
      <c r="A983" s="3" t="str">
        <f>"3382"</f>
        <v>3382</v>
      </c>
      <c r="B983" s="3" t="s">
        <v>32</v>
      </c>
      <c r="C983" s="3" t="str">
        <f t="shared" si="413"/>
        <v>金盆岭街道</v>
      </c>
      <c r="D983" s="3" t="str">
        <f>"涂新社区"</f>
        <v>涂新社区</v>
      </c>
      <c r="E983" s="3" t="str">
        <f t="shared" si="404"/>
        <v>140</v>
      </c>
      <c r="F983" s="3" t="str">
        <f t="shared" si="411"/>
        <v>100</v>
      </c>
      <c r="G983" s="3" t="str">
        <f t="shared" si="415"/>
        <v>二级</v>
      </c>
    </row>
    <row r="984" customHeight="1" spans="1:7">
      <c r="A984" s="3" t="str">
        <f>"3383"</f>
        <v>3383</v>
      </c>
      <c r="B984" s="3" t="s">
        <v>650</v>
      </c>
      <c r="C984" s="3" t="str">
        <f>"暮云街道"</f>
        <v>暮云街道</v>
      </c>
      <c r="D984" s="3" t="str">
        <f>"许兴村"</f>
        <v>许兴村</v>
      </c>
      <c r="E984" s="3" t="str">
        <f t="shared" si="404"/>
        <v>140</v>
      </c>
      <c r="F984" s="3" t="str">
        <f>"0"</f>
        <v>0</v>
      </c>
      <c r="G984" s="3" t="str">
        <f>"三级"</f>
        <v>三级</v>
      </c>
    </row>
    <row r="985" customHeight="1" spans="1:7">
      <c r="A985" s="3" t="str">
        <f>"3384"</f>
        <v>3384</v>
      </c>
      <c r="B985" s="3" t="s">
        <v>2249</v>
      </c>
      <c r="C985" s="3" t="str">
        <f>"坡子街街道"</f>
        <v>坡子街街道</v>
      </c>
      <c r="D985" s="3" t="str">
        <f>"西湖社区"</f>
        <v>西湖社区</v>
      </c>
      <c r="E985" s="3" t="str">
        <f t="shared" si="404"/>
        <v>140</v>
      </c>
      <c r="F985" s="3" t="str">
        <f t="shared" ref="F985:F997" si="416">"100"</f>
        <v>100</v>
      </c>
      <c r="G985" s="3" t="str">
        <f t="shared" si="414"/>
        <v>一级</v>
      </c>
    </row>
    <row r="986" customHeight="1" spans="1:7">
      <c r="A986" s="3" t="str">
        <f>"3385"</f>
        <v>3385</v>
      </c>
      <c r="B986" s="3" t="s">
        <v>2250</v>
      </c>
      <c r="C986" s="3" t="str">
        <f>"裕南街街道"</f>
        <v>裕南街街道</v>
      </c>
      <c r="D986" s="3" t="str">
        <f>"宝塔山社区"</f>
        <v>宝塔山社区</v>
      </c>
      <c r="E986" s="3" t="str">
        <f t="shared" si="404"/>
        <v>140</v>
      </c>
      <c r="F986" s="3" t="str">
        <f t="shared" si="416"/>
        <v>100</v>
      </c>
      <c r="G986" s="3" t="str">
        <f t="shared" si="414"/>
        <v>一级</v>
      </c>
    </row>
    <row r="987" customHeight="1" spans="1:7">
      <c r="A987" s="3" t="str">
        <f>"3386"</f>
        <v>3386</v>
      </c>
      <c r="B987" s="3" t="s">
        <v>618</v>
      </c>
      <c r="C987" s="3" t="str">
        <f>"桂花坪街道"</f>
        <v>桂花坪街道</v>
      </c>
      <c r="D987" s="3" t="str">
        <f>"金桂社区"</f>
        <v>金桂社区</v>
      </c>
      <c r="E987" s="3" t="str">
        <f t="shared" si="404"/>
        <v>140</v>
      </c>
      <c r="F987" s="3" t="str">
        <f t="shared" si="416"/>
        <v>100</v>
      </c>
      <c r="G987" s="3" t="str">
        <f t="shared" si="415"/>
        <v>二级</v>
      </c>
    </row>
    <row r="988" customHeight="1" spans="1:7">
      <c r="A988" s="3" t="str">
        <f>"3387"</f>
        <v>3387</v>
      </c>
      <c r="B988" s="3" t="s">
        <v>2251</v>
      </c>
      <c r="C988" s="3" t="str">
        <f>"青园街道"</f>
        <v>青园街道</v>
      </c>
      <c r="D988" s="3" t="str">
        <f>"青园社区"</f>
        <v>青园社区</v>
      </c>
      <c r="E988" s="3" t="str">
        <f t="shared" si="404"/>
        <v>140</v>
      </c>
      <c r="F988" s="3" t="str">
        <f t="shared" si="416"/>
        <v>100</v>
      </c>
      <c r="G988" s="3" t="str">
        <f>"一级"</f>
        <v>一级</v>
      </c>
    </row>
    <row r="989" customHeight="1" spans="1:7">
      <c r="A989" s="3" t="str">
        <f>"3388"</f>
        <v>3388</v>
      </c>
      <c r="B989" s="3" t="s">
        <v>797</v>
      </c>
      <c r="C989" s="3" t="str">
        <f>"青园街道"</f>
        <v>青园街道</v>
      </c>
      <c r="D989" s="3" t="str">
        <f>"青园社区"</f>
        <v>青园社区</v>
      </c>
      <c r="E989" s="3" t="str">
        <f t="shared" si="404"/>
        <v>140</v>
      </c>
      <c r="F989" s="3" t="str">
        <f t="shared" si="416"/>
        <v>100</v>
      </c>
      <c r="G989" s="3" t="str">
        <f t="shared" ref="G989:G993" si="417">"二级"</f>
        <v>二级</v>
      </c>
    </row>
    <row r="990" customHeight="1" spans="1:7">
      <c r="A990" s="3" t="str">
        <f>"3389"</f>
        <v>3389</v>
      </c>
      <c r="B990" s="3" t="s">
        <v>690</v>
      </c>
      <c r="C990" s="3" t="str">
        <f>"桂花坪街道"</f>
        <v>桂花坪街道</v>
      </c>
      <c r="D990" s="3" t="str">
        <f>"丹桂社区"</f>
        <v>丹桂社区</v>
      </c>
      <c r="E990" s="3" t="str">
        <f t="shared" si="404"/>
        <v>140</v>
      </c>
      <c r="F990" s="3" t="str">
        <f t="shared" si="416"/>
        <v>100</v>
      </c>
      <c r="G990" s="3" t="str">
        <f t="shared" si="417"/>
        <v>二级</v>
      </c>
    </row>
    <row r="991" customHeight="1" spans="1:7">
      <c r="A991" s="3" t="str">
        <f>"3390"</f>
        <v>3390</v>
      </c>
      <c r="B991" s="3" t="s">
        <v>1452</v>
      </c>
      <c r="C991" s="3" t="str">
        <f>"黑石铺街道"</f>
        <v>黑石铺街道</v>
      </c>
      <c r="D991" s="3" t="str">
        <f>"铭安社区"</f>
        <v>铭安社区</v>
      </c>
      <c r="E991" s="3" t="str">
        <f t="shared" si="404"/>
        <v>140</v>
      </c>
      <c r="F991" s="3" t="str">
        <f t="shared" si="416"/>
        <v>100</v>
      </c>
      <c r="G991" s="3" t="str">
        <f t="shared" si="417"/>
        <v>二级</v>
      </c>
    </row>
    <row r="992" customHeight="1" spans="1:7">
      <c r="A992" s="3" t="str">
        <f>"3391"</f>
        <v>3391</v>
      </c>
      <c r="B992" s="3" t="s">
        <v>54</v>
      </c>
      <c r="C992" s="3" t="str">
        <f>"新开铺街道"</f>
        <v>新开铺街道</v>
      </c>
      <c r="D992" s="3" t="str">
        <f>"新开铺社区"</f>
        <v>新开铺社区</v>
      </c>
      <c r="E992" s="3" t="str">
        <f t="shared" si="404"/>
        <v>140</v>
      </c>
      <c r="F992" s="3" t="str">
        <f t="shared" si="416"/>
        <v>100</v>
      </c>
      <c r="G992" s="3" t="str">
        <f t="shared" si="417"/>
        <v>二级</v>
      </c>
    </row>
    <row r="993" customHeight="1" spans="1:7">
      <c r="A993" s="3" t="str">
        <f>"3392"</f>
        <v>3392</v>
      </c>
      <c r="B993" s="3" t="s">
        <v>1452</v>
      </c>
      <c r="C993" s="3" t="str">
        <f>"裕南街街道"</f>
        <v>裕南街街道</v>
      </c>
      <c r="D993" s="3" t="str">
        <f>"石子冲社区"</f>
        <v>石子冲社区</v>
      </c>
      <c r="E993" s="3" t="str">
        <f t="shared" si="404"/>
        <v>140</v>
      </c>
      <c r="F993" s="3" t="str">
        <f t="shared" si="416"/>
        <v>100</v>
      </c>
      <c r="G993" s="3" t="str">
        <f t="shared" si="417"/>
        <v>二级</v>
      </c>
    </row>
    <row r="994" customHeight="1" spans="1:7">
      <c r="A994" s="3" t="str">
        <f>"3393"</f>
        <v>3393</v>
      </c>
      <c r="B994" s="3" t="s">
        <v>2252</v>
      </c>
      <c r="C994" s="3" t="str">
        <f>"大托铺街道"</f>
        <v>大托铺街道</v>
      </c>
      <c r="D994" s="3" t="str">
        <f>"黄合村委会"</f>
        <v>黄合村委会</v>
      </c>
      <c r="E994" s="3" t="str">
        <f t="shared" si="404"/>
        <v>140</v>
      </c>
      <c r="F994" s="3" t="str">
        <f t="shared" si="416"/>
        <v>100</v>
      </c>
      <c r="G994" s="3" t="str">
        <f t="shared" ref="G994:G999" si="418">"一级"</f>
        <v>一级</v>
      </c>
    </row>
    <row r="995" customHeight="1" spans="1:7">
      <c r="A995" s="3" t="str">
        <f>"3394"</f>
        <v>3394</v>
      </c>
      <c r="B995" s="3" t="s">
        <v>2253</v>
      </c>
      <c r="C995" s="3" t="str">
        <f>"青园街道"</f>
        <v>青园街道</v>
      </c>
      <c r="D995" s="3" t="str">
        <f>"井湾子社区"</f>
        <v>井湾子社区</v>
      </c>
      <c r="E995" s="3" t="str">
        <f t="shared" si="404"/>
        <v>140</v>
      </c>
      <c r="F995" s="3" t="str">
        <f t="shared" si="416"/>
        <v>100</v>
      </c>
      <c r="G995" s="3" t="str">
        <f t="shared" si="418"/>
        <v>一级</v>
      </c>
    </row>
    <row r="996" customHeight="1" spans="1:7">
      <c r="A996" s="3" t="str">
        <f>"3395"</f>
        <v>3395</v>
      </c>
      <c r="B996" s="3" t="s">
        <v>2254</v>
      </c>
      <c r="C996" s="3" t="str">
        <f>"文源街道"</f>
        <v>文源街道</v>
      </c>
      <c r="D996" s="3" t="str">
        <f>"天鸿社区"</f>
        <v>天鸿社区</v>
      </c>
      <c r="E996" s="3" t="str">
        <f t="shared" si="404"/>
        <v>140</v>
      </c>
      <c r="F996" s="3" t="str">
        <f t="shared" si="416"/>
        <v>100</v>
      </c>
      <c r="G996" s="3" t="str">
        <f t="shared" ref="G996:G1000" si="419">"二级"</f>
        <v>二级</v>
      </c>
    </row>
    <row r="997" customHeight="1" spans="1:7">
      <c r="A997" s="3" t="str">
        <f>"3396"</f>
        <v>3396</v>
      </c>
      <c r="B997" s="3" t="s">
        <v>2255</v>
      </c>
      <c r="C997" s="3" t="str">
        <f>"裕南街街道"</f>
        <v>裕南街街道</v>
      </c>
      <c r="D997" s="3" t="str">
        <f>"向东南社区"</f>
        <v>向东南社区</v>
      </c>
      <c r="E997" s="3" t="str">
        <f t="shared" si="404"/>
        <v>140</v>
      </c>
      <c r="F997" s="3" t="str">
        <f t="shared" si="416"/>
        <v>100</v>
      </c>
      <c r="G997" s="3" t="str">
        <f t="shared" si="419"/>
        <v>二级</v>
      </c>
    </row>
    <row r="998" customHeight="1" spans="1:7">
      <c r="A998" s="3" t="str">
        <f>"3397"</f>
        <v>3397</v>
      </c>
      <c r="B998" s="3" t="s">
        <v>2256</v>
      </c>
      <c r="C998" s="3" t="str">
        <f>"文源街道"</f>
        <v>文源街道</v>
      </c>
      <c r="D998" s="3" t="str">
        <f>"天鸿社区"</f>
        <v>天鸿社区</v>
      </c>
      <c r="E998" s="3" t="str">
        <f t="shared" si="404"/>
        <v>140</v>
      </c>
      <c r="F998" s="3" t="str">
        <f>"0"</f>
        <v>0</v>
      </c>
      <c r="G998" s="3" t="str">
        <f>"四级"</f>
        <v>四级</v>
      </c>
    </row>
    <row r="999" customHeight="1" spans="1:7">
      <c r="A999" s="3" t="str">
        <f>"3398"</f>
        <v>3398</v>
      </c>
      <c r="B999" s="3" t="s">
        <v>1811</v>
      </c>
      <c r="C999" s="3" t="str">
        <f>"坡子街街道"</f>
        <v>坡子街街道</v>
      </c>
      <c r="D999" s="3" t="str">
        <f>"登仁桥社区"</f>
        <v>登仁桥社区</v>
      </c>
      <c r="E999" s="3" t="str">
        <f t="shared" si="404"/>
        <v>140</v>
      </c>
      <c r="F999" s="3" t="str">
        <f t="shared" ref="F999:F1008" si="420">"100"</f>
        <v>100</v>
      </c>
      <c r="G999" s="3" t="str">
        <f t="shared" si="418"/>
        <v>一级</v>
      </c>
    </row>
    <row r="1000" customHeight="1" spans="1:7">
      <c r="A1000" s="3" t="str">
        <f>"3399"</f>
        <v>3399</v>
      </c>
      <c r="B1000" s="3" t="s">
        <v>2257</v>
      </c>
      <c r="C1000" s="3" t="str">
        <f>"赤岭路街道"</f>
        <v>赤岭路街道</v>
      </c>
      <c r="D1000" s="3" t="str">
        <f>"芙蓉南路社区"</f>
        <v>芙蓉南路社区</v>
      </c>
      <c r="E1000" s="3" t="str">
        <f t="shared" si="404"/>
        <v>140</v>
      </c>
      <c r="F1000" s="3" t="str">
        <f t="shared" si="420"/>
        <v>100</v>
      </c>
      <c r="G1000" s="3" t="str">
        <f t="shared" si="419"/>
        <v>二级</v>
      </c>
    </row>
    <row r="1001" customHeight="1" spans="1:7">
      <c r="A1001" s="3" t="str">
        <f>"3400"</f>
        <v>3400</v>
      </c>
      <c r="B1001" s="3" t="s">
        <v>80</v>
      </c>
      <c r="C1001" s="3" t="str">
        <f>"先锋街道"</f>
        <v>先锋街道</v>
      </c>
      <c r="D1001" s="3" t="str">
        <f>"新路村委会"</f>
        <v>新路村委会</v>
      </c>
      <c r="E1001" s="3" t="str">
        <f t="shared" si="404"/>
        <v>140</v>
      </c>
      <c r="F1001" s="3" t="str">
        <f t="shared" si="420"/>
        <v>100</v>
      </c>
      <c r="G1001" s="3" t="str">
        <f>"一级"</f>
        <v>一级</v>
      </c>
    </row>
    <row r="1002" customHeight="1" spans="1:7">
      <c r="A1002" s="3" t="str">
        <f>"3401"</f>
        <v>3401</v>
      </c>
      <c r="B1002" s="3" t="s">
        <v>2258</v>
      </c>
      <c r="C1002" s="3" t="str">
        <f t="shared" ref="C1002:C1009" si="421">"裕南街街道"</f>
        <v>裕南街街道</v>
      </c>
      <c r="D1002" s="3" t="str">
        <f>"宝塔山社区"</f>
        <v>宝塔山社区</v>
      </c>
      <c r="E1002" s="3" t="str">
        <f t="shared" si="404"/>
        <v>140</v>
      </c>
      <c r="F1002" s="3" t="str">
        <f t="shared" si="420"/>
        <v>100</v>
      </c>
      <c r="G1002" s="3" t="str">
        <f t="shared" ref="G1002:G1006" si="422">"二级"</f>
        <v>二级</v>
      </c>
    </row>
    <row r="1003" customHeight="1" spans="1:7">
      <c r="A1003" s="3" t="str">
        <f>"3402"</f>
        <v>3402</v>
      </c>
      <c r="B1003" s="3" t="s">
        <v>2259</v>
      </c>
      <c r="C1003" s="3" t="str">
        <f t="shared" si="421"/>
        <v>裕南街街道</v>
      </c>
      <c r="D1003" s="3" t="str">
        <f>"向东南社区"</f>
        <v>向东南社区</v>
      </c>
      <c r="E1003" s="3" t="str">
        <f t="shared" si="404"/>
        <v>140</v>
      </c>
      <c r="F1003" s="3" t="str">
        <f t="shared" si="420"/>
        <v>100</v>
      </c>
      <c r="G1003" s="3" t="str">
        <f t="shared" si="422"/>
        <v>二级</v>
      </c>
    </row>
    <row r="1004" customHeight="1" spans="1:7">
      <c r="A1004" s="3" t="str">
        <f>"3403"</f>
        <v>3403</v>
      </c>
      <c r="B1004" s="3" t="s">
        <v>15</v>
      </c>
      <c r="C1004" s="3" t="str">
        <f>"坡子街街道"</f>
        <v>坡子街街道</v>
      </c>
      <c r="D1004" s="3" t="str">
        <f>"文庙坪社区"</f>
        <v>文庙坪社区</v>
      </c>
      <c r="E1004" s="3" t="str">
        <f t="shared" si="404"/>
        <v>140</v>
      </c>
      <c r="F1004" s="3" t="str">
        <f t="shared" si="420"/>
        <v>100</v>
      </c>
      <c r="G1004" s="3" t="str">
        <f t="shared" si="422"/>
        <v>二级</v>
      </c>
    </row>
    <row r="1005" customHeight="1" spans="1:7">
      <c r="A1005" s="3" t="str">
        <f>"3404"</f>
        <v>3404</v>
      </c>
      <c r="B1005" s="3" t="s">
        <v>2260</v>
      </c>
      <c r="C1005" s="3" t="str">
        <f>"赤岭路街道"</f>
        <v>赤岭路街道</v>
      </c>
      <c r="D1005" s="3" t="str">
        <f>"广厦新村社区"</f>
        <v>广厦新村社区</v>
      </c>
      <c r="E1005" s="3" t="str">
        <f t="shared" si="404"/>
        <v>140</v>
      </c>
      <c r="F1005" s="3" t="str">
        <f t="shared" si="420"/>
        <v>100</v>
      </c>
      <c r="G1005" s="3" t="str">
        <f t="shared" si="422"/>
        <v>二级</v>
      </c>
    </row>
    <row r="1006" customHeight="1" spans="1:7">
      <c r="A1006" s="3" t="str">
        <f>"3405"</f>
        <v>3405</v>
      </c>
      <c r="B1006" s="3" t="s">
        <v>125</v>
      </c>
      <c r="C1006" s="3" t="str">
        <f>"坡子街街道"</f>
        <v>坡子街街道</v>
      </c>
      <c r="D1006" s="3" t="str">
        <f>"青山祠社区"</f>
        <v>青山祠社区</v>
      </c>
      <c r="E1006" s="3" t="str">
        <f t="shared" si="404"/>
        <v>140</v>
      </c>
      <c r="F1006" s="3" t="str">
        <f t="shared" si="420"/>
        <v>100</v>
      </c>
      <c r="G1006" s="3" t="str">
        <f t="shared" si="422"/>
        <v>二级</v>
      </c>
    </row>
    <row r="1007" customHeight="1" spans="1:7">
      <c r="A1007" s="3" t="str">
        <f>"3406"</f>
        <v>3406</v>
      </c>
      <c r="B1007" s="3" t="s">
        <v>2261</v>
      </c>
      <c r="C1007" s="3" t="str">
        <f t="shared" si="421"/>
        <v>裕南街街道</v>
      </c>
      <c r="D1007" s="3" t="str">
        <f>"火把山社区"</f>
        <v>火把山社区</v>
      </c>
      <c r="E1007" s="3" t="str">
        <f t="shared" si="404"/>
        <v>140</v>
      </c>
      <c r="F1007" s="3" t="str">
        <f t="shared" si="420"/>
        <v>100</v>
      </c>
      <c r="G1007" s="3" t="str">
        <f>"一级"</f>
        <v>一级</v>
      </c>
    </row>
    <row r="1008" customHeight="1" spans="1:7">
      <c r="A1008" s="3" t="str">
        <f>"3407"</f>
        <v>3407</v>
      </c>
      <c r="B1008" s="3" t="s">
        <v>2262</v>
      </c>
      <c r="C1008" s="3" t="str">
        <f t="shared" si="421"/>
        <v>裕南街街道</v>
      </c>
      <c r="D1008" s="3" t="str">
        <f>"裕南街社区"</f>
        <v>裕南街社区</v>
      </c>
      <c r="E1008" s="3" t="str">
        <f t="shared" si="404"/>
        <v>140</v>
      </c>
      <c r="F1008" s="3" t="str">
        <f t="shared" si="420"/>
        <v>100</v>
      </c>
      <c r="G1008" s="3" t="str">
        <f t="shared" ref="G1008:G1011" si="423">"二级"</f>
        <v>二级</v>
      </c>
    </row>
    <row r="1009" customHeight="1" spans="1:7">
      <c r="A1009" s="3" t="str">
        <f>"3408"</f>
        <v>3408</v>
      </c>
      <c r="B1009" s="3" t="s">
        <v>112</v>
      </c>
      <c r="C1009" s="3" t="str">
        <f t="shared" si="421"/>
        <v>裕南街街道</v>
      </c>
      <c r="D1009" s="3" t="str">
        <f>"石子冲社区"</f>
        <v>石子冲社区</v>
      </c>
      <c r="E1009" s="3" t="str">
        <f t="shared" si="404"/>
        <v>140</v>
      </c>
      <c r="F1009" s="3" t="str">
        <f>"0"</f>
        <v>0</v>
      </c>
      <c r="G1009" s="3" t="str">
        <f>"四级"</f>
        <v>四级</v>
      </c>
    </row>
    <row r="1010" customHeight="1" spans="1:7">
      <c r="A1010" s="3" t="str">
        <f>"3409"</f>
        <v>3409</v>
      </c>
      <c r="B1010" s="3" t="s">
        <v>54</v>
      </c>
      <c r="C1010" s="3" t="str">
        <f>"桂花坪街道"</f>
        <v>桂花坪街道</v>
      </c>
      <c r="D1010" s="3" t="str">
        <f>"金桂社区"</f>
        <v>金桂社区</v>
      </c>
      <c r="E1010" s="3" t="str">
        <f t="shared" si="404"/>
        <v>140</v>
      </c>
      <c r="F1010" s="3" t="str">
        <f t="shared" ref="F1010:F1020" si="424">"100"</f>
        <v>100</v>
      </c>
      <c r="G1010" s="3" t="str">
        <f t="shared" si="423"/>
        <v>二级</v>
      </c>
    </row>
    <row r="1011" customHeight="1" spans="1:7">
      <c r="A1011" s="3" t="str">
        <f>"3410"</f>
        <v>3410</v>
      </c>
      <c r="B1011" s="3" t="s">
        <v>389</v>
      </c>
      <c r="C1011" s="3" t="str">
        <f>"裕南街街道"</f>
        <v>裕南街街道</v>
      </c>
      <c r="D1011" s="3" t="str">
        <f>"向东南社区"</f>
        <v>向东南社区</v>
      </c>
      <c r="E1011" s="3" t="str">
        <f t="shared" si="404"/>
        <v>140</v>
      </c>
      <c r="F1011" s="3" t="str">
        <f t="shared" si="424"/>
        <v>100</v>
      </c>
      <c r="G1011" s="3" t="str">
        <f t="shared" si="423"/>
        <v>二级</v>
      </c>
    </row>
    <row r="1012" customHeight="1" spans="1:7">
      <c r="A1012" s="3" t="str">
        <f>"3411"</f>
        <v>3411</v>
      </c>
      <c r="B1012" s="3" t="s">
        <v>2263</v>
      </c>
      <c r="C1012" s="3" t="str">
        <f>"赤岭路街道"</f>
        <v>赤岭路街道</v>
      </c>
      <c r="D1012" s="3" t="str">
        <f>"广厦新村社区"</f>
        <v>广厦新村社区</v>
      </c>
      <c r="E1012" s="3" t="str">
        <f t="shared" si="404"/>
        <v>140</v>
      </c>
      <c r="F1012" s="3" t="str">
        <f t="shared" si="424"/>
        <v>100</v>
      </c>
      <c r="G1012" s="3" t="str">
        <f>"一级"</f>
        <v>一级</v>
      </c>
    </row>
    <row r="1013" customHeight="1" spans="1:7">
      <c r="A1013" s="3" t="str">
        <f>"3412"</f>
        <v>3412</v>
      </c>
      <c r="B1013" s="3" t="s">
        <v>2264</v>
      </c>
      <c r="C1013" s="3" t="str">
        <f>"暮云街道"</f>
        <v>暮云街道</v>
      </c>
      <c r="D1013" s="3" t="str">
        <f>"莲华村"</f>
        <v>莲华村</v>
      </c>
      <c r="E1013" s="3" t="str">
        <f t="shared" si="404"/>
        <v>140</v>
      </c>
      <c r="F1013" s="3" t="str">
        <f t="shared" si="424"/>
        <v>100</v>
      </c>
      <c r="G1013" s="3" t="str">
        <f t="shared" ref="G1013:G1016" si="425">"二级"</f>
        <v>二级</v>
      </c>
    </row>
    <row r="1014" customHeight="1" spans="1:7">
      <c r="A1014" s="3" t="str">
        <f>"3413"</f>
        <v>3413</v>
      </c>
      <c r="B1014" s="3" t="s">
        <v>2265</v>
      </c>
      <c r="C1014" s="3" t="str">
        <f>"文源街道"</f>
        <v>文源街道</v>
      </c>
      <c r="D1014" s="3" t="str">
        <f>"梅岭社区"</f>
        <v>梅岭社区</v>
      </c>
      <c r="E1014" s="3" t="str">
        <f t="shared" si="404"/>
        <v>140</v>
      </c>
      <c r="F1014" s="3" t="str">
        <f t="shared" si="424"/>
        <v>100</v>
      </c>
      <c r="G1014" s="3" t="str">
        <f t="shared" si="425"/>
        <v>二级</v>
      </c>
    </row>
    <row r="1015" customHeight="1" spans="1:7">
      <c r="A1015" s="3" t="str">
        <f>"3414"</f>
        <v>3414</v>
      </c>
      <c r="B1015" s="3" t="s">
        <v>32</v>
      </c>
      <c r="C1015" s="3" t="str">
        <f>"新开铺街道"</f>
        <v>新开铺街道</v>
      </c>
      <c r="D1015" s="3" t="str">
        <f>"新天村委会"</f>
        <v>新天村委会</v>
      </c>
      <c r="E1015" s="3" t="str">
        <f t="shared" si="404"/>
        <v>140</v>
      </c>
      <c r="F1015" s="3" t="str">
        <f t="shared" si="424"/>
        <v>100</v>
      </c>
      <c r="G1015" s="3" t="str">
        <f t="shared" si="425"/>
        <v>二级</v>
      </c>
    </row>
    <row r="1016" customHeight="1" spans="1:7">
      <c r="A1016" s="3" t="str">
        <f>"3415"</f>
        <v>3415</v>
      </c>
      <c r="B1016" s="3" t="s">
        <v>54</v>
      </c>
      <c r="C1016" s="3" t="str">
        <f>"黑石铺街道"</f>
        <v>黑石铺街道</v>
      </c>
      <c r="D1016" s="3" t="str">
        <f>"披塘村委会"</f>
        <v>披塘村委会</v>
      </c>
      <c r="E1016" s="3" t="str">
        <f t="shared" si="404"/>
        <v>140</v>
      </c>
      <c r="F1016" s="3" t="str">
        <f t="shared" si="424"/>
        <v>100</v>
      </c>
      <c r="G1016" s="3" t="str">
        <f t="shared" si="425"/>
        <v>二级</v>
      </c>
    </row>
    <row r="1017" customHeight="1" spans="1:7">
      <c r="A1017" s="3" t="str">
        <f>"3416"</f>
        <v>3416</v>
      </c>
      <c r="B1017" s="3" t="s">
        <v>2266</v>
      </c>
      <c r="C1017" s="3" t="str">
        <f>"青园街道"</f>
        <v>青园街道</v>
      </c>
      <c r="D1017" s="3" t="str">
        <f>"井湾子社区"</f>
        <v>井湾子社区</v>
      </c>
      <c r="E1017" s="3" t="str">
        <f t="shared" si="404"/>
        <v>140</v>
      </c>
      <c r="F1017" s="3" t="str">
        <f t="shared" si="424"/>
        <v>100</v>
      </c>
      <c r="G1017" s="3" t="str">
        <f>"一级"</f>
        <v>一级</v>
      </c>
    </row>
    <row r="1018" customHeight="1" spans="1:7">
      <c r="A1018" s="3" t="str">
        <f>"3417"</f>
        <v>3417</v>
      </c>
      <c r="B1018" s="3" t="s">
        <v>2267</v>
      </c>
      <c r="C1018" s="3" t="str">
        <f>"青园街道"</f>
        <v>青园街道</v>
      </c>
      <c r="D1018" s="3" t="str">
        <f>"友谊社区"</f>
        <v>友谊社区</v>
      </c>
      <c r="E1018" s="3" t="str">
        <f t="shared" si="404"/>
        <v>140</v>
      </c>
      <c r="F1018" s="3" t="str">
        <f t="shared" si="424"/>
        <v>100</v>
      </c>
      <c r="G1018" s="3" t="str">
        <f t="shared" ref="G1018:G1022" si="426">"二级"</f>
        <v>二级</v>
      </c>
    </row>
    <row r="1019" customHeight="1" spans="1:7">
      <c r="A1019" s="3" t="str">
        <f>"3418"</f>
        <v>3418</v>
      </c>
      <c r="B1019" s="3" t="s">
        <v>2268</v>
      </c>
      <c r="C1019" s="3" t="str">
        <f>"城南路街道"</f>
        <v>城南路街道</v>
      </c>
      <c r="D1019" s="3" t="str">
        <f>"吴家坪社区"</f>
        <v>吴家坪社区</v>
      </c>
      <c r="E1019" s="3" t="str">
        <f t="shared" si="404"/>
        <v>140</v>
      </c>
      <c r="F1019" s="3" t="str">
        <f t="shared" si="424"/>
        <v>100</v>
      </c>
      <c r="G1019" s="3" t="str">
        <f t="shared" si="426"/>
        <v>二级</v>
      </c>
    </row>
    <row r="1020" customHeight="1" spans="1:7">
      <c r="A1020" s="3" t="str">
        <f>"3419"</f>
        <v>3419</v>
      </c>
      <c r="B1020" s="3" t="s">
        <v>2269</v>
      </c>
      <c r="C1020" s="3" t="str">
        <f>"桂花坪街道"</f>
        <v>桂花坪街道</v>
      </c>
      <c r="D1020" s="3" t="str">
        <f>"桂庄社区"</f>
        <v>桂庄社区</v>
      </c>
      <c r="E1020" s="3" t="str">
        <f t="shared" si="404"/>
        <v>140</v>
      </c>
      <c r="F1020" s="3" t="str">
        <f t="shared" si="424"/>
        <v>100</v>
      </c>
      <c r="G1020" s="3" t="str">
        <f t="shared" ref="G1020:G1024" si="427">"一级"</f>
        <v>一级</v>
      </c>
    </row>
    <row r="1021" customHeight="1" spans="1:7">
      <c r="A1021" s="3" t="str">
        <f>"3420"</f>
        <v>3420</v>
      </c>
      <c r="B1021" s="3" t="s">
        <v>2270</v>
      </c>
      <c r="C1021" s="3" t="str">
        <f>"坡子街街道"</f>
        <v>坡子街街道</v>
      </c>
      <c r="D1021" s="3" t="str">
        <f>"西湖社区"</f>
        <v>西湖社区</v>
      </c>
      <c r="E1021" s="3" t="str">
        <f t="shared" si="404"/>
        <v>140</v>
      </c>
      <c r="F1021" s="3" t="str">
        <f>"0"</f>
        <v>0</v>
      </c>
      <c r="G1021" s="3" t="str">
        <f>"三级"</f>
        <v>三级</v>
      </c>
    </row>
    <row r="1022" customHeight="1" spans="1:7">
      <c r="A1022" s="3" t="str">
        <f>"3421"</f>
        <v>3421</v>
      </c>
      <c r="B1022" s="3" t="s">
        <v>2271</v>
      </c>
      <c r="C1022" s="3" t="str">
        <f>"金盆岭街道"</f>
        <v>金盆岭街道</v>
      </c>
      <c r="D1022" s="3" t="str">
        <f>"狮子山社区"</f>
        <v>狮子山社区</v>
      </c>
      <c r="E1022" s="3" t="str">
        <f t="shared" si="404"/>
        <v>140</v>
      </c>
      <c r="F1022" s="3" t="str">
        <f t="shared" ref="F1022:F1040" si="428">"100"</f>
        <v>100</v>
      </c>
      <c r="G1022" s="3" t="str">
        <f t="shared" si="426"/>
        <v>二级</v>
      </c>
    </row>
    <row r="1023" customHeight="1" spans="1:7">
      <c r="A1023" s="3" t="str">
        <f>"3422"</f>
        <v>3422</v>
      </c>
      <c r="B1023" s="3" t="s">
        <v>684</v>
      </c>
      <c r="C1023" s="3" t="str">
        <f>"南托街道"</f>
        <v>南托街道</v>
      </c>
      <c r="D1023" s="3" t="str">
        <f>"北塘社区"</f>
        <v>北塘社区</v>
      </c>
      <c r="E1023" s="3" t="str">
        <f t="shared" si="404"/>
        <v>140</v>
      </c>
      <c r="F1023" s="3" t="str">
        <f t="shared" si="428"/>
        <v>100</v>
      </c>
      <c r="G1023" s="3" t="str">
        <f t="shared" si="427"/>
        <v>一级</v>
      </c>
    </row>
    <row r="1024" customHeight="1" spans="1:7">
      <c r="A1024" s="3" t="str">
        <f>"3423"</f>
        <v>3423</v>
      </c>
      <c r="B1024" s="3" t="s">
        <v>1031</v>
      </c>
      <c r="C1024" s="3" t="str">
        <f t="shared" ref="C1024:C1028" si="429">"坡子街街道"</f>
        <v>坡子街街道</v>
      </c>
      <c r="D1024" s="3" t="str">
        <f>"登仁桥社区"</f>
        <v>登仁桥社区</v>
      </c>
      <c r="E1024" s="3" t="str">
        <f t="shared" si="404"/>
        <v>140</v>
      </c>
      <c r="F1024" s="3" t="str">
        <f t="shared" si="428"/>
        <v>100</v>
      </c>
      <c r="G1024" s="3" t="str">
        <f t="shared" si="427"/>
        <v>一级</v>
      </c>
    </row>
    <row r="1025" customHeight="1" spans="1:7">
      <c r="A1025" s="3" t="str">
        <f>"3424"</f>
        <v>3424</v>
      </c>
      <c r="B1025" s="3" t="s">
        <v>2272</v>
      </c>
      <c r="C1025" s="3" t="str">
        <f>"桂花坪街道"</f>
        <v>桂花坪街道</v>
      </c>
      <c r="D1025" s="3" t="str">
        <f>"九峰苑社区"</f>
        <v>九峰苑社区</v>
      </c>
      <c r="E1025" s="3" t="str">
        <f t="shared" si="404"/>
        <v>140</v>
      </c>
      <c r="F1025" s="3" t="str">
        <f t="shared" si="428"/>
        <v>100</v>
      </c>
      <c r="G1025" s="3" t="str">
        <f t="shared" ref="G1025:G1030" si="430">"二级"</f>
        <v>二级</v>
      </c>
    </row>
    <row r="1026" customHeight="1" spans="1:7">
      <c r="A1026" s="3" t="str">
        <f>"3425"</f>
        <v>3425</v>
      </c>
      <c r="B1026" s="3" t="s">
        <v>1580</v>
      </c>
      <c r="C1026" s="3" t="str">
        <f>"大托铺街道"</f>
        <v>大托铺街道</v>
      </c>
      <c r="D1026" s="3" t="str">
        <f>"新港村委会"</f>
        <v>新港村委会</v>
      </c>
      <c r="E1026" s="3" t="str">
        <f t="shared" ref="E1026:E1089" si="431">"140"</f>
        <v>140</v>
      </c>
      <c r="F1026" s="3" t="str">
        <f t="shared" si="428"/>
        <v>100</v>
      </c>
      <c r="G1026" s="3" t="str">
        <f t="shared" si="430"/>
        <v>二级</v>
      </c>
    </row>
    <row r="1027" customHeight="1" spans="1:7">
      <c r="A1027" s="3" t="str">
        <f>"3426"</f>
        <v>3426</v>
      </c>
      <c r="B1027" s="3" t="s">
        <v>2273</v>
      </c>
      <c r="C1027" s="3" t="str">
        <f t="shared" si="429"/>
        <v>坡子街街道</v>
      </c>
      <c r="D1027" s="3" t="str">
        <f>"西牌楼社区"</f>
        <v>西牌楼社区</v>
      </c>
      <c r="E1027" s="3" t="str">
        <f t="shared" si="431"/>
        <v>140</v>
      </c>
      <c r="F1027" s="3" t="str">
        <f t="shared" si="428"/>
        <v>100</v>
      </c>
      <c r="G1027" s="3" t="str">
        <f t="shared" si="430"/>
        <v>二级</v>
      </c>
    </row>
    <row r="1028" customHeight="1" spans="1:7">
      <c r="A1028" s="3" t="str">
        <f>"3427"</f>
        <v>3427</v>
      </c>
      <c r="B1028" s="3" t="s">
        <v>2274</v>
      </c>
      <c r="C1028" s="3" t="str">
        <f t="shared" si="429"/>
        <v>坡子街街道</v>
      </c>
      <c r="D1028" s="3" t="str">
        <f>"碧湘社区"</f>
        <v>碧湘社区</v>
      </c>
      <c r="E1028" s="3" t="str">
        <f t="shared" si="431"/>
        <v>140</v>
      </c>
      <c r="F1028" s="3" t="str">
        <f t="shared" si="428"/>
        <v>100</v>
      </c>
      <c r="G1028" s="3" t="str">
        <f t="shared" si="430"/>
        <v>二级</v>
      </c>
    </row>
    <row r="1029" customHeight="1" spans="1:7">
      <c r="A1029" s="3" t="str">
        <f>"3428"</f>
        <v>3428</v>
      </c>
      <c r="B1029" s="3" t="s">
        <v>479</v>
      </c>
      <c r="C1029" s="3" t="str">
        <f>"裕南街街道"</f>
        <v>裕南街街道</v>
      </c>
      <c r="D1029" s="3" t="str">
        <f>"宝塔山社区"</f>
        <v>宝塔山社区</v>
      </c>
      <c r="E1029" s="3" t="str">
        <f t="shared" si="431"/>
        <v>140</v>
      </c>
      <c r="F1029" s="3" t="str">
        <f t="shared" si="428"/>
        <v>100</v>
      </c>
      <c r="G1029" s="3" t="str">
        <f t="shared" si="430"/>
        <v>二级</v>
      </c>
    </row>
    <row r="1030" customHeight="1" spans="1:7">
      <c r="A1030" s="3" t="str">
        <f>"3429"</f>
        <v>3429</v>
      </c>
      <c r="B1030" s="3" t="s">
        <v>2275</v>
      </c>
      <c r="C1030" s="3" t="str">
        <f>"暮云街道"</f>
        <v>暮云街道</v>
      </c>
      <c r="D1030" s="3" t="str">
        <f>"暮云新村"</f>
        <v>暮云新村</v>
      </c>
      <c r="E1030" s="3" t="str">
        <f t="shared" si="431"/>
        <v>140</v>
      </c>
      <c r="F1030" s="3" t="str">
        <f t="shared" si="428"/>
        <v>100</v>
      </c>
      <c r="G1030" s="3" t="str">
        <f t="shared" si="430"/>
        <v>二级</v>
      </c>
    </row>
    <row r="1031" customHeight="1" spans="1:7">
      <c r="A1031" s="3" t="str">
        <f>"3430"</f>
        <v>3430</v>
      </c>
      <c r="B1031" s="3" t="s">
        <v>2276</v>
      </c>
      <c r="C1031" s="3" t="str">
        <f>"城南路街道"</f>
        <v>城南路街道</v>
      </c>
      <c r="D1031" s="3" t="str">
        <f>"燕子岭社区"</f>
        <v>燕子岭社区</v>
      </c>
      <c r="E1031" s="3" t="str">
        <f t="shared" si="431"/>
        <v>140</v>
      </c>
      <c r="F1031" s="3" t="str">
        <f t="shared" si="428"/>
        <v>100</v>
      </c>
      <c r="G1031" s="3" t="str">
        <f t="shared" ref="G1031:G1033" si="432">"一级"</f>
        <v>一级</v>
      </c>
    </row>
    <row r="1032" customHeight="1" spans="1:7">
      <c r="A1032" s="3" t="str">
        <f>"3431"</f>
        <v>3431</v>
      </c>
      <c r="B1032" s="3" t="s">
        <v>418</v>
      </c>
      <c r="C1032" s="3" t="str">
        <f>"南托街道"</f>
        <v>南托街道</v>
      </c>
      <c r="D1032" s="3" t="str">
        <f>"沿江村"</f>
        <v>沿江村</v>
      </c>
      <c r="E1032" s="3" t="str">
        <f t="shared" si="431"/>
        <v>140</v>
      </c>
      <c r="F1032" s="3" t="str">
        <f t="shared" si="428"/>
        <v>100</v>
      </c>
      <c r="G1032" s="3" t="str">
        <f t="shared" si="432"/>
        <v>一级</v>
      </c>
    </row>
    <row r="1033" customHeight="1" spans="1:7">
      <c r="A1033" s="3" t="str">
        <f>"3432"</f>
        <v>3432</v>
      </c>
      <c r="B1033" s="3" t="s">
        <v>560</v>
      </c>
      <c r="C1033" s="3" t="str">
        <f>"南托街道"</f>
        <v>南托街道</v>
      </c>
      <c r="D1033" s="3" t="str">
        <f>"沿江村"</f>
        <v>沿江村</v>
      </c>
      <c r="E1033" s="3" t="str">
        <f t="shared" si="431"/>
        <v>140</v>
      </c>
      <c r="F1033" s="3" t="str">
        <f t="shared" si="428"/>
        <v>100</v>
      </c>
      <c r="G1033" s="3" t="str">
        <f t="shared" si="432"/>
        <v>一级</v>
      </c>
    </row>
    <row r="1034" customHeight="1" spans="1:7">
      <c r="A1034" s="3" t="str">
        <f>"3433"</f>
        <v>3433</v>
      </c>
      <c r="B1034" s="3" t="s">
        <v>2277</v>
      </c>
      <c r="C1034" s="3" t="str">
        <f>"桂花坪街道"</f>
        <v>桂花坪街道</v>
      </c>
      <c r="D1034" s="3" t="str">
        <f>"金桂社区"</f>
        <v>金桂社区</v>
      </c>
      <c r="E1034" s="3" t="str">
        <f t="shared" si="431"/>
        <v>140</v>
      </c>
      <c r="F1034" s="3" t="str">
        <f t="shared" si="428"/>
        <v>100</v>
      </c>
      <c r="G1034" s="3" t="str">
        <f t="shared" ref="G1034:G1037" si="433">"二级"</f>
        <v>二级</v>
      </c>
    </row>
    <row r="1035" customHeight="1" spans="1:7">
      <c r="A1035" s="3" t="str">
        <f>"3434"</f>
        <v>3434</v>
      </c>
      <c r="B1035" s="3" t="s">
        <v>18</v>
      </c>
      <c r="C1035" s="3" t="str">
        <f>"坡子街街道"</f>
        <v>坡子街街道</v>
      </c>
      <c r="D1035" s="3" t="str">
        <f>"创远社区"</f>
        <v>创远社区</v>
      </c>
      <c r="E1035" s="3" t="str">
        <f t="shared" si="431"/>
        <v>140</v>
      </c>
      <c r="F1035" s="3" t="str">
        <f t="shared" si="428"/>
        <v>100</v>
      </c>
      <c r="G1035" s="3" t="str">
        <f t="shared" si="433"/>
        <v>二级</v>
      </c>
    </row>
    <row r="1036" customHeight="1" spans="1:7">
      <c r="A1036" s="3" t="str">
        <f>"3435"</f>
        <v>3435</v>
      </c>
      <c r="B1036" s="3" t="s">
        <v>573</v>
      </c>
      <c r="C1036" s="3" t="str">
        <f>"赤岭路街道"</f>
        <v>赤岭路街道</v>
      </c>
      <c r="D1036" s="3" t="str">
        <f>"猴子石社区"</f>
        <v>猴子石社区</v>
      </c>
      <c r="E1036" s="3" t="str">
        <f t="shared" si="431"/>
        <v>140</v>
      </c>
      <c r="F1036" s="3" t="str">
        <f t="shared" si="428"/>
        <v>100</v>
      </c>
      <c r="G1036" s="3" t="str">
        <f t="shared" si="433"/>
        <v>二级</v>
      </c>
    </row>
    <row r="1037" customHeight="1" spans="1:7">
      <c r="A1037" s="3" t="str">
        <f>"3436"</f>
        <v>3436</v>
      </c>
      <c r="B1037" s="3" t="s">
        <v>2278</v>
      </c>
      <c r="C1037" s="3" t="str">
        <f>"坡子街街道"</f>
        <v>坡子街街道</v>
      </c>
      <c r="D1037" s="3" t="str">
        <f>"青山祠社区"</f>
        <v>青山祠社区</v>
      </c>
      <c r="E1037" s="3" t="str">
        <f t="shared" si="431"/>
        <v>140</v>
      </c>
      <c r="F1037" s="3" t="str">
        <f t="shared" si="428"/>
        <v>100</v>
      </c>
      <c r="G1037" s="3" t="str">
        <f t="shared" si="433"/>
        <v>二级</v>
      </c>
    </row>
    <row r="1038" customHeight="1" spans="1:7">
      <c r="A1038" s="3" t="str">
        <f>"3437"</f>
        <v>3437</v>
      </c>
      <c r="B1038" s="3" t="s">
        <v>2279</v>
      </c>
      <c r="C1038" s="3" t="str">
        <f>"城南路街道"</f>
        <v>城南路街道</v>
      </c>
      <c r="D1038" s="3" t="str">
        <f>"燕子岭社区"</f>
        <v>燕子岭社区</v>
      </c>
      <c r="E1038" s="3" t="str">
        <f t="shared" si="431"/>
        <v>140</v>
      </c>
      <c r="F1038" s="3" t="str">
        <f t="shared" si="428"/>
        <v>100</v>
      </c>
      <c r="G1038" s="3" t="str">
        <f>"一级"</f>
        <v>一级</v>
      </c>
    </row>
    <row r="1039" customHeight="1" spans="1:7">
      <c r="A1039" s="3" t="str">
        <f>"3438"</f>
        <v>3438</v>
      </c>
      <c r="B1039" s="3" t="s">
        <v>2280</v>
      </c>
      <c r="C1039" s="3" t="str">
        <f>"裕南街街道"</f>
        <v>裕南街街道</v>
      </c>
      <c r="D1039" s="3" t="str">
        <f>"南站社区"</f>
        <v>南站社区</v>
      </c>
      <c r="E1039" s="3" t="str">
        <f t="shared" si="431"/>
        <v>140</v>
      </c>
      <c r="F1039" s="3" t="str">
        <f t="shared" si="428"/>
        <v>100</v>
      </c>
      <c r="G1039" s="3" t="str">
        <f t="shared" ref="G1039:G1043" si="434">"二级"</f>
        <v>二级</v>
      </c>
    </row>
    <row r="1040" customHeight="1" spans="1:7">
      <c r="A1040" s="3" t="str">
        <f>"3439"</f>
        <v>3439</v>
      </c>
      <c r="B1040" s="3" t="s">
        <v>2281</v>
      </c>
      <c r="C1040" s="3" t="str">
        <f>"黑石铺街道"</f>
        <v>黑石铺街道</v>
      </c>
      <c r="D1040" s="3" t="str">
        <f>"一力社区"</f>
        <v>一力社区</v>
      </c>
      <c r="E1040" s="3" t="str">
        <f t="shared" si="431"/>
        <v>140</v>
      </c>
      <c r="F1040" s="3" t="str">
        <f t="shared" si="428"/>
        <v>100</v>
      </c>
      <c r="G1040" s="3" t="str">
        <f t="shared" si="434"/>
        <v>二级</v>
      </c>
    </row>
    <row r="1041" customHeight="1" spans="1:7">
      <c r="A1041" s="3" t="str">
        <f>"3440"</f>
        <v>3440</v>
      </c>
      <c r="B1041" s="3" t="s">
        <v>2282</v>
      </c>
      <c r="C1041" s="3" t="str">
        <f>"暮云街道"</f>
        <v>暮云街道</v>
      </c>
      <c r="D1041" s="3" t="str">
        <f>"暮云新村"</f>
        <v>暮云新村</v>
      </c>
      <c r="E1041" s="3" t="str">
        <f t="shared" si="431"/>
        <v>140</v>
      </c>
      <c r="F1041" s="3" t="str">
        <f>"0"</f>
        <v>0</v>
      </c>
      <c r="G1041" s="3" t="str">
        <f>"四级"</f>
        <v>四级</v>
      </c>
    </row>
    <row r="1042" customHeight="1" spans="1:7">
      <c r="A1042" s="3" t="str">
        <f>"3441"</f>
        <v>3441</v>
      </c>
      <c r="B1042" s="3" t="s">
        <v>857</v>
      </c>
      <c r="C1042" s="3" t="str">
        <f>"坡子街街道"</f>
        <v>坡子街街道</v>
      </c>
      <c r="D1042" s="3" t="str">
        <f>"创远社区"</f>
        <v>创远社区</v>
      </c>
      <c r="E1042" s="3" t="str">
        <f t="shared" si="431"/>
        <v>140</v>
      </c>
      <c r="F1042" s="3" t="str">
        <f t="shared" ref="F1042:F1056" si="435">"100"</f>
        <v>100</v>
      </c>
      <c r="G1042" s="3" t="str">
        <f t="shared" si="434"/>
        <v>二级</v>
      </c>
    </row>
    <row r="1043" customHeight="1" spans="1:7">
      <c r="A1043" s="3" t="str">
        <f>"3442"</f>
        <v>3442</v>
      </c>
      <c r="B1043" s="3" t="s">
        <v>717</v>
      </c>
      <c r="C1043" s="3" t="str">
        <f>"金盆岭街道"</f>
        <v>金盆岭街道</v>
      </c>
      <c r="D1043" s="3" t="str">
        <f>"涂新社区"</f>
        <v>涂新社区</v>
      </c>
      <c r="E1043" s="3" t="str">
        <f t="shared" si="431"/>
        <v>140</v>
      </c>
      <c r="F1043" s="3" t="str">
        <f t="shared" si="435"/>
        <v>100</v>
      </c>
      <c r="G1043" s="3" t="str">
        <f t="shared" si="434"/>
        <v>二级</v>
      </c>
    </row>
    <row r="1044" customHeight="1" spans="1:7">
      <c r="A1044" s="3" t="str">
        <f>"3443"</f>
        <v>3443</v>
      </c>
      <c r="B1044" s="3" t="s">
        <v>2283</v>
      </c>
      <c r="C1044" s="3" t="str">
        <f t="shared" ref="C1044:C1049" si="436">"裕南街街道"</f>
        <v>裕南街街道</v>
      </c>
      <c r="D1044" s="3" t="str">
        <f>"向东南社区"</f>
        <v>向东南社区</v>
      </c>
      <c r="E1044" s="3" t="str">
        <f t="shared" si="431"/>
        <v>140</v>
      </c>
      <c r="F1044" s="3" t="str">
        <f>"0"</f>
        <v>0</v>
      </c>
      <c r="G1044" s="3" t="str">
        <f>"三级"</f>
        <v>三级</v>
      </c>
    </row>
    <row r="1045" customHeight="1" spans="1:7">
      <c r="A1045" s="3" t="str">
        <f>"3444"</f>
        <v>3444</v>
      </c>
      <c r="B1045" s="3" t="s">
        <v>1852</v>
      </c>
      <c r="C1045" s="3" t="str">
        <f t="shared" ref="C1045:C1048" si="437">"南托街道"</f>
        <v>南托街道</v>
      </c>
      <c r="D1045" s="3" t="str">
        <f>"北塘社区"</f>
        <v>北塘社区</v>
      </c>
      <c r="E1045" s="3" t="str">
        <f t="shared" si="431"/>
        <v>140</v>
      </c>
      <c r="F1045" s="3" t="str">
        <f t="shared" si="435"/>
        <v>100</v>
      </c>
      <c r="G1045" s="3" t="str">
        <f t="shared" ref="G1045:G1047" si="438">"一级"</f>
        <v>一级</v>
      </c>
    </row>
    <row r="1046" customHeight="1" spans="1:7">
      <c r="A1046" s="3" t="str">
        <f>"3445"</f>
        <v>3445</v>
      </c>
      <c r="B1046" s="3" t="s">
        <v>2284</v>
      </c>
      <c r="C1046" s="3" t="str">
        <f t="shared" si="437"/>
        <v>南托街道</v>
      </c>
      <c r="D1046" s="3" t="str">
        <f>"融城社区"</f>
        <v>融城社区</v>
      </c>
      <c r="E1046" s="3" t="str">
        <f t="shared" si="431"/>
        <v>140</v>
      </c>
      <c r="F1046" s="3" t="str">
        <f t="shared" si="435"/>
        <v>100</v>
      </c>
      <c r="G1046" s="3" t="str">
        <f t="shared" si="438"/>
        <v>一级</v>
      </c>
    </row>
    <row r="1047" customHeight="1" spans="1:7">
      <c r="A1047" s="3" t="str">
        <f>"3446"</f>
        <v>3446</v>
      </c>
      <c r="B1047" s="3" t="s">
        <v>70</v>
      </c>
      <c r="C1047" s="3" t="str">
        <f t="shared" si="436"/>
        <v>裕南街街道</v>
      </c>
      <c r="D1047" s="3" t="str">
        <f>"南站社区"</f>
        <v>南站社区</v>
      </c>
      <c r="E1047" s="3" t="str">
        <f t="shared" si="431"/>
        <v>140</v>
      </c>
      <c r="F1047" s="3" t="str">
        <f t="shared" si="435"/>
        <v>100</v>
      </c>
      <c r="G1047" s="3" t="str">
        <f t="shared" si="438"/>
        <v>一级</v>
      </c>
    </row>
    <row r="1048" customHeight="1" spans="1:7">
      <c r="A1048" s="3" t="str">
        <f>"3447"</f>
        <v>3447</v>
      </c>
      <c r="B1048" s="3" t="s">
        <v>2285</v>
      </c>
      <c r="C1048" s="3" t="str">
        <f t="shared" si="437"/>
        <v>南托街道</v>
      </c>
      <c r="D1048" s="3" t="str">
        <f>"牛角塘村"</f>
        <v>牛角塘村</v>
      </c>
      <c r="E1048" s="3" t="str">
        <f t="shared" si="431"/>
        <v>140</v>
      </c>
      <c r="F1048" s="3" t="str">
        <f t="shared" si="435"/>
        <v>100</v>
      </c>
      <c r="G1048" s="3" t="str">
        <f t="shared" ref="G1048:G1053" si="439">"二级"</f>
        <v>二级</v>
      </c>
    </row>
    <row r="1049" customHeight="1" spans="1:7">
      <c r="A1049" s="3" t="str">
        <f>"3448"</f>
        <v>3448</v>
      </c>
      <c r="B1049" s="3" t="s">
        <v>2286</v>
      </c>
      <c r="C1049" s="3" t="str">
        <f t="shared" si="436"/>
        <v>裕南街街道</v>
      </c>
      <c r="D1049" s="3" t="str">
        <f>"向东南社区"</f>
        <v>向东南社区</v>
      </c>
      <c r="E1049" s="3" t="str">
        <f t="shared" si="431"/>
        <v>140</v>
      </c>
      <c r="F1049" s="3" t="str">
        <f t="shared" si="435"/>
        <v>100</v>
      </c>
      <c r="G1049" s="3" t="str">
        <f t="shared" ref="G1049:G1052" si="440">"一级"</f>
        <v>一级</v>
      </c>
    </row>
    <row r="1050" customHeight="1" spans="1:7">
      <c r="A1050" s="3" t="str">
        <f>"3449"</f>
        <v>3449</v>
      </c>
      <c r="B1050" s="3" t="s">
        <v>1148</v>
      </c>
      <c r="C1050" s="3" t="str">
        <f>"城南路街道"</f>
        <v>城南路街道</v>
      </c>
      <c r="D1050" s="3" t="str">
        <f>"白沙井社区"</f>
        <v>白沙井社区</v>
      </c>
      <c r="E1050" s="3" t="str">
        <f t="shared" si="431"/>
        <v>140</v>
      </c>
      <c r="F1050" s="3" t="str">
        <f t="shared" si="435"/>
        <v>100</v>
      </c>
      <c r="G1050" s="3" t="str">
        <f t="shared" si="440"/>
        <v>一级</v>
      </c>
    </row>
    <row r="1051" customHeight="1" spans="1:7">
      <c r="A1051" s="3" t="str">
        <f>"3450"</f>
        <v>3450</v>
      </c>
      <c r="B1051" s="3" t="s">
        <v>1391</v>
      </c>
      <c r="C1051" s="3" t="str">
        <f>"金盆岭街道"</f>
        <v>金盆岭街道</v>
      </c>
      <c r="D1051" s="3" t="str">
        <f>"涂新社区"</f>
        <v>涂新社区</v>
      </c>
      <c r="E1051" s="3" t="str">
        <f t="shared" si="431"/>
        <v>140</v>
      </c>
      <c r="F1051" s="3" t="str">
        <f t="shared" si="435"/>
        <v>100</v>
      </c>
      <c r="G1051" s="3" t="str">
        <f t="shared" si="439"/>
        <v>二级</v>
      </c>
    </row>
    <row r="1052" customHeight="1" spans="1:7">
      <c r="A1052" s="3" t="str">
        <f>"3451"</f>
        <v>3451</v>
      </c>
      <c r="B1052" s="3" t="s">
        <v>2287</v>
      </c>
      <c r="C1052" s="3" t="str">
        <f>"金盆岭街道"</f>
        <v>金盆岭街道</v>
      </c>
      <c r="D1052" s="3" t="str">
        <f>"涂新社区"</f>
        <v>涂新社区</v>
      </c>
      <c r="E1052" s="3" t="str">
        <f t="shared" si="431"/>
        <v>140</v>
      </c>
      <c r="F1052" s="3" t="str">
        <f t="shared" si="435"/>
        <v>100</v>
      </c>
      <c r="G1052" s="3" t="str">
        <f t="shared" si="440"/>
        <v>一级</v>
      </c>
    </row>
    <row r="1053" customHeight="1" spans="1:7">
      <c r="A1053" s="3" t="str">
        <f>"3452"</f>
        <v>3452</v>
      </c>
      <c r="B1053" s="3" t="s">
        <v>2288</v>
      </c>
      <c r="C1053" s="3" t="str">
        <f>"赤岭路街道"</f>
        <v>赤岭路街道</v>
      </c>
      <c r="D1053" s="3" t="str">
        <f>"新丰社区"</f>
        <v>新丰社区</v>
      </c>
      <c r="E1053" s="3" t="str">
        <f t="shared" si="431"/>
        <v>140</v>
      </c>
      <c r="F1053" s="3" t="str">
        <f t="shared" si="435"/>
        <v>100</v>
      </c>
      <c r="G1053" s="3" t="str">
        <f t="shared" si="439"/>
        <v>二级</v>
      </c>
    </row>
    <row r="1054" customHeight="1" spans="1:7">
      <c r="A1054" s="3" t="str">
        <f>"3453"</f>
        <v>3453</v>
      </c>
      <c r="B1054" s="3" t="s">
        <v>1452</v>
      </c>
      <c r="C1054" s="3" t="str">
        <f t="shared" ref="C1054:C1058" si="441">"裕南街街道"</f>
        <v>裕南街街道</v>
      </c>
      <c r="D1054" s="3" t="str">
        <f t="shared" ref="D1054:D1058" si="442">"石子冲社区"</f>
        <v>石子冲社区</v>
      </c>
      <c r="E1054" s="3" t="str">
        <f t="shared" si="431"/>
        <v>140</v>
      </c>
      <c r="F1054" s="3" t="str">
        <f t="shared" si="435"/>
        <v>100</v>
      </c>
      <c r="G1054" s="3" t="str">
        <f>"一级"</f>
        <v>一级</v>
      </c>
    </row>
    <row r="1055" customHeight="1" spans="1:7">
      <c r="A1055" s="3" t="str">
        <f>"3454"</f>
        <v>3454</v>
      </c>
      <c r="B1055" s="3" t="s">
        <v>1131</v>
      </c>
      <c r="C1055" s="3" t="str">
        <f>"赤岭路街道"</f>
        <v>赤岭路街道</v>
      </c>
      <c r="D1055" s="3" t="str">
        <f>"白沙花园社区"</f>
        <v>白沙花园社区</v>
      </c>
      <c r="E1055" s="3" t="str">
        <f t="shared" si="431"/>
        <v>140</v>
      </c>
      <c r="F1055" s="3" t="str">
        <f t="shared" si="435"/>
        <v>100</v>
      </c>
      <c r="G1055" s="3" t="str">
        <f t="shared" ref="G1055:G1059" si="443">"二级"</f>
        <v>二级</v>
      </c>
    </row>
    <row r="1056" customHeight="1" spans="1:7">
      <c r="A1056" s="3" t="str">
        <f>"3455"</f>
        <v>3455</v>
      </c>
      <c r="B1056" s="3" t="s">
        <v>2289</v>
      </c>
      <c r="C1056" s="3" t="str">
        <f>"黑石铺街道"</f>
        <v>黑石铺街道</v>
      </c>
      <c r="D1056" s="3" t="str">
        <f>"铭安社区"</f>
        <v>铭安社区</v>
      </c>
      <c r="E1056" s="3" t="str">
        <f t="shared" si="431"/>
        <v>140</v>
      </c>
      <c r="F1056" s="3" t="str">
        <f t="shared" si="435"/>
        <v>100</v>
      </c>
      <c r="G1056" s="3" t="str">
        <f>"一级"</f>
        <v>一级</v>
      </c>
    </row>
    <row r="1057" customHeight="1" spans="1:7">
      <c r="A1057" s="3" t="str">
        <f>"3456"</f>
        <v>3456</v>
      </c>
      <c r="B1057" s="3" t="s">
        <v>2290</v>
      </c>
      <c r="C1057" s="3" t="str">
        <f t="shared" si="441"/>
        <v>裕南街街道</v>
      </c>
      <c r="D1057" s="3" t="str">
        <f t="shared" si="442"/>
        <v>石子冲社区</v>
      </c>
      <c r="E1057" s="3" t="str">
        <f t="shared" si="431"/>
        <v>140</v>
      </c>
      <c r="F1057" s="3" t="str">
        <f>"0"</f>
        <v>0</v>
      </c>
      <c r="G1057" s="3" t="str">
        <f>"三级"</f>
        <v>三级</v>
      </c>
    </row>
    <row r="1058" customHeight="1" spans="1:7">
      <c r="A1058" s="3" t="str">
        <f>"3457"</f>
        <v>3457</v>
      </c>
      <c r="B1058" s="3" t="s">
        <v>2291</v>
      </c>
      <c r="C1058" s="3" t="str">
        <f t="shared" si="441"/>
        <v>裕南街街道</v>
      </c>
      <c r="D1058" s="3" t="str">
        <f t="shared" si="442"/>
        <v>石子冲社区</v>
      </c>
      <c r="E1058" s="3" t="str">
        <f t="shared" si="431"/>
        <v>140</v>
      </c>
      <c r="F1058" s="3" t="str">
        <f t="shared" ref="F1058:F1062" si="444">"100"</f>
        <v>100</v>
      </c>
      <c r="G1058" s="3" t="str">
        <f t="shared" si="443"/>
        <v>二级</v>
      </c>
    </row>
    <row r="1059" customHeight="1" spans="1:7">
      <c r="A1059" s="3" t="str">
        <f>"3458"</f>
        <v>3458</v>
      </c>
      <c r="B1059" s="3" t="s">
        <v>2292</v>
      </c>
      <c r="C1059" s="3" t="str">
        <f>"新开铺街道"</f>
        <v>新开铺街道</v>
      </c>
      <c r="D1059" s="3" t="str">
        <f>"新开铺社区"</f>
        <v>新开铺社区</v>
      </c>
      <c r="E1059" s="3" t="str">
        <f t="shared" si="431"/>
        <v>140</v>
      </c>
      <c r="F1059" s="3" t="str">
        <f t="shared" si="444"/>
        <v>100</v>
      </c>
      <c r="G1059" s="3" t="str">
        <f t="shared" si="443"/>
        <v>二级</v>
      </c>
    </row>
    <row r="1060" customHeight="1" spans="1:7">
      <c r="A1060" s="3" t="str">
        <f>"3459"</f>
        <v>3459</v>
      </c>
      <c r="B1060" s="3" t="s">
        <v>2293</v>
      </c>
      <c r="C1060" s="3" t="str">
        <f>"南托街道"</f>
        <v>南托街道</v>
      </c>
      <c r="D1060" s="3" t="str">
        <f>"北塘社区"</f>
        <v>北塘社区</v>
      </c>
      <c r="E1060" s="3" t="str">
        <f t="shared" si="431"/>
        <v>140</v>
      </c>
      <c r="F1060" s="3" t="str">
        <f t="shared" si="444"/>
        <v>100</v>
      </c>
      <c r="G1060" s="3" t="str">
        <f>"一级"</f>
        <v>一级</v>
      </c>
    </row>
    <row r="1061" customHeight="1" spans="1:7">
      <c r="A1061" s="3" t="str">
        <f>"3460"</f>
        <v>3460</v>
      </c>
      <c r="B1061" s="3" t="s">
        <v>1496</v>
      </c>
      <c r="C1061" s="3" t="str">
        <f>"金盆岭街道"</f>
        <v>金盆岭街道</v>
      </c>
      <c r="D1061" s="3" t="str">
        <f>"夏家冲社区"</f>
        <v>夏家冲社区</v>
      </c>
      <c r="E1061" s="3" t="str">
        <f t="shared" si="431"/>
        <v>140</v>
      </c>
      <c r="F1061" s="3" t="str">
        <f t="shared" si="444"/>
        <v>100</v>
      </c>
      <c r="G1061" s="3" t="str">
        <f t="shared" ref="G1061:G1067" si="445">"二级"</f>
        <v>二级</v>
      </c>
    </row>
    <row r="1062" customHeight="1" spans="1:7">
      <c r="A1062" s="3" t="str">
        <f>"3461"</f>
        <v>3461</v>
      </c>
      <c r="B1062" s="3" t="s">
        <v>139</v>
      </c>
      <c r="C1062" s="3" t="str">
        <f>"裕南街街道"</f>
        <v>裕南街街道</v>
      </c>
      <c r="D1062" s="3" t="str">
        <f>"石子冲社区"</f>
        <v>石子冲社区</v>
      </c>
      <c r="E1062" s="3" t="str">
        <f t="shared" si="431"/>
        <v>140</v>
      </c>
      <c r="F1062" s="3" t="str">
        <f t="shared" si="444"/>
        <v>100</v>
      </c>
      <c r="G1062" s="3" t="str">
        <f t="shared" si="445"/>
        <v>二级</v>
      </c>
    </row>
    <row r="1063" customHeight="1" spans="1:7">
      <c r="A1063" s="3" t="str">
        <f>"3462"</f>
        <v>3462</v>
      </c>
      <c r="B1063" s="3" t="s">
        <v>1131</v>
      </c>
      <c r="C1063" s="3" t="str">
        <f>"暮云街道"</f>
        <v>暮云街道</v>
      </c>
      <c r="D1063" s="3" t="str">
        <f>"怡海社区"</f>
        <v>怡海社区</v>
      </c>
      <c r="E1063" s="3" t="str">
        <f t="shared" si="431"/>
        <v>140</v>
      </c>
      <c r="F1063" s="3" t="str">
        <f>"0"</f>
        <v>0</v>
      </c>
      <c r="G1063" s="3" t="str">
        <f>"三级"</f>
        <v>三级</v>
      </c>
    </row>
    <row r="1064" customHeight="1" spans="1:7">
      <c r="A1064" s="3" t="str">
        <f>"3463"</f>
        <v>3463</v>
      </c>
      <c r="B1064" s="3" t="s">
        <v>32</v>
      </c>
      <c r="C1064" s="3" t="str">
        <f>"坡子街街道"</f>
        <v>坡子街街道</v>
      </c>
      <c r="D1064" s="3" t="str">
        <f>"坡子街社区"</f>
        <v>坡子街社区</v>
      </c>
      <c r="E1064" s="3" t="str">
        <f t="shared" si="431"/>
        <v>140</v>
      </c>
      <c r="F1064" s="3" t="str">
        <f t="shared" ref="F1064:F1074" si="446">"100"</f>
        <v>100</v>
      </c>
      <c r="G1064" s="3" t="str">
        <f t="shared" si="445"/>
        <v>二级</v>
      </c>
    </row>
    <row r="1065" customHeight="1" spans="1:7">
      <c r="A1065" s="3" t="str">
        <f>"3464"</f>
        <v>3464</v>
      </c>
      <c r="B1065" s="3" t="s">
        <v>2294</v>
      </c>
      <c r="C1065" s="3" t="str">
        <f>"青园街道"</f>
        <v>青园街道</v>
      </c>
      <c r="D1065" s="3" t="str">
        <f>"井湾子社区"</f>
        <v>井湾子社区</v>
      </c>
      <c r="E1065" s="3" t="str">
        <f t="shared" si="431"/>
        <v>140</v>
      </c>
      <c r="F1065" s="3" t="str">
        <f t="shared" si="446"/>
        <v>100</v>
      </c>
      <c r="G1065" s="3" t="str">
        <f t="shared" si="445"/>
        <v>二级</v>
      </c>
    </row>
    <row r="1066" customHeight="1" spans="1:7">
      <c r="A1066" s="3" t="str">
        <f>"3465"</f>
        <v>3465</v>
      </c>
      <c r="B1066" s="3" t="s">
        <v>395</v>
      </c>
      <c r="C1066" s="3" t="str">
        <f>"新开铺街道"</f>
        <v>新开铺街道</v>
      </c>
      <c r="D1066" s="3" t="str">
        <f>"豹子岭社区"</f>
        <v>豹子岭社区</v>
      </c>
      <c r="E1066" s="3" t="str">
        <f t="shared" si="431"/>
        <v>140</v>
      </c>
      <c r="F1066" s="3" t="str">
        <f t="shared" si="446"/>
        <v>100</v>
      </c>
      <c r="G1066" s="3" t="str">
        <f t="shared" si="445"/>
        <v>二级</v>
      </c>
    </row>
    <row r="1067" customHeight="1" spans="1:7">
      <c r="A1067" s="3" t="str">
        <f>"3466"</f>
        <v>3466</v>
      </c>
      <c r="B1067" s="3" t="s">
        <v>126</v>
      </c>
      <c r="C1067" s="3" t="str">
        <f t="shared" ref="C1067:C1076" si="447">"黑石铺街道"</f>
        <v>黑石铺街道</v>
      </c>
      <c r="D1067" s="3" t="str">
        <f t="shared" ref="D1067:D1076" si="448">"铭安社区"</f>
        <v>铭安社区</v>
      </c>
      <c r="E1067" s="3" t="str">
        <f t="shared" si="431"/>
        <v>140</v>
      </c>
      <c r="F1067" s="3" t="str">
        <f t="shared" si="446"/>
        <v>100</v>
      </c>
      <c r="G1067" s="3" t="str">
        <f t="shared" si="445"/>
        <v>二级</v>
      </c>
    </row>
    <row r="1068" customHeight="1" spans="1:7">
      <c r="A1068" s="3" t="str">
        <f>"3467"</f>
        <v>3467</v>
      </c>
      <c r="B1068" s="3" t="s">
        <v>2295</v>
      </c>
      <c r="C1068" s="3" t="str">
        <f t="shared" si="447"/>
        <v>黑石铺街道</v>
      </c>
      <c r="D1068" s="3" t="str">
        <f t="shared" si="448"/>
        <v>铭安社区</v>
      </c>
      <c r="E1068" s="3" t="str">
        <f t="shared" si="431"/>
        <v>140</v>
      </c>
      <c r="F1068" s="3" t="str">
        <f t="shared" si="446"/>
        <v>100</v>
      </c>
      <c r="G1068" s="3" t="str">
        <f t="shared" ref="G1068:G1073" si="449">"一级"</f>
        <v>一级</v>
      </c>
    </row>
    <row r="1069" customHeight="1" spans="1:7">
      <c r="A1069" s="3" t="str">
        <f>"3468"</f>
        <v>3468</v>
      </c>
      <c r="B1069" s="3" t="s">
        <v>2296</v>
      </c>
      <c r="C1069" s="3" t="str">
        <f t="shared" si="447"/>
        <v>黑石铺街道</v>
      </c>
      <c r="D1069" s="3" t="str">
        <f t="shared" si="448"/>
        <v>铭安社区</v>
      </c>
      <c r="E1069" s="3" t="str">
        <f t="shared" si="431"/>
        <v>140</v>
      </c>
      <c r="F1069" s="3" t="str">
        <f t="shared" si="446"/>
        <v>100</v>
      </c>
      <c r="G1069" s="3" t="str">
        <f t="shared" ref="G1069:G1072" si="450">"二级"</f>
        <v>二级</v>
      </c>
    </row>
    <row r="1070" customHeight="1" spans="1:7">
      <c r="A1070" s="3" t="str">
        <f>"3469"</f>
        <v>3469</v>
      </c>
      <c r="B1070" s="3" t="s">
        <v>2297</v>
      </c>
      <c r="C1070" s="3" t="str">
        <f t="shared" si="447"/>
        <v>黑石铺街道</v>
      </c>
      <c r="D1070" s="3" t="str">
        <f t="shared" si="448"/>
        <v>铭安社区</v>
      </c>
      <c r="E1070" s="3" t="str">
        <f t="shared" si="431"/>
        <v>140</v>
      </c>
      <c r="F1070" s="3" t="str">
        <f t="shared" si="446"/>
        <v>100</v>
      </c>
      <c r="G1070" s="3" t="str">
        <f t="shared" si="450"/>
        <v>二级</v>
      </c>
    </row>
    <row r="1071" customHeight="1" spans="1:7">
      <c r="A1071" s="3" t="str">
        <f>"3470"</f>
        <v>3470</v>
      </c>
      <c r="B1071" s="3" t="s">
        <v>331</v>
      </c>
      <c r="C1071" s="3" t="str">
        <f t="shared" si="447"/>
        <v>黑石铺街道</v>
      </c>
      <c r="D1071" s="3" t="str">
        <f t="shared" si="448"/>
        <v>铭安社区</v>
      </c>
      <c r="E1071" s="3" t="str">
        <f t="shared" si="431"/>
        <v>140</v>
      </c>
      <c r="F1071" s="3" t="str">
        <f t="shared" si="446"/>
        <v>100</v>
      </c>
      <c r="G1071" s="3" t="str">
        <f t="shared" si="449"/>
        <v>一级</v>
      </c>
    </row>
    <row r="1072" customHeight="1" spans="1:7">
      <c r="A1072" s="3" t="str">
        <f>"3471"</f>
        <v>3471</v>
      </c>
      <c r="B1072" s="3" t="s">
        <v>1219</v>
      </c>
      <c r="C1072" s="3" t="str">
        <f t="shared" si="447"/>
        <v>黑石铺街道</v>
      </c>
      <c r="D1072" s="3" t="str">
        <f t="shared" si="448"/>
        <v>铭安社区</v>
      </c>
      <c r="E1072" s="3" t="str">
        <f t="shared" si="431"/>
        <v>140</v>
      </c>
      <c r="F1072" s="3" t="str">
        <f t="shared" si="446"/>
        <v>100</v>
      </c>
      <c r="G1072" s="3" t="str">
        <f t="shared" si="450"/>
        <v>二级</v>
      </c>
    </row>
    <row r="1073" customHeight="1" spans="1:7">
      <c r="A1073" s="3" t="str">
        <f>"3472"</f>
        <v>3472</v>
      </c>
      <c r="B1073" s="3" t="s">
        <v>112</v>
      </c>
      <c r="C1073" s="3" t="str">
        <f t="shared" si="447"/>
        <v>黑石铺街道</v>
      </c>
      <c r="D1073" s="3" t="str">
        <f t="shared" si="448"/>
        <v>铭安社区</v>
      </c>
      <c r="E1073" s="3" t="str">
        <f t="shared" si="431"/>
        <v>140</v>
      </c>
      <c r="F1073" s="3" t="str">
        <f t="shared" si="446"/>
        <v>100</v>
      </c>
      <c r="G1073" s="3" t="str">
        <f t="shared" si="449"/>
        <v>一级</v>
      </c>
    </row>
    <row r="1074" customHeight="1" spans="1:7">
      <c r="A1074" s="3" t="str">
        <f>"3473"</f>
        <v>3473</v>
      </c>
      <c r="B1074" s="3" t="s">
        <v>1214</v>
      </c>
      <c r="C1074" s="3" t="str">
        <f t="shared" si="447"/>
        <v>黑石铺街道</v>
      </c>
      <c r="D1074" s="3" t="str">
        <f t="shared" si="448"/>
        <v>铭安社区</v>
      </c>
      <c r="E1074" s="3" t="str">
        <f t="shared" si="431"/>
        <v>140</v>
      </c>
      <c r="F1074" s="3" t="str">
        <f t="shared" si="446"/>
        <v>100</v>
      </c>
      <c r="G1074" s="3" t="str">
        <f t="shared" ref="G1074:G1083" si="451">"二级"</f>
        <v>二级</v>
      </c>
    </row>
    <row r="1075" customHeight="1" spans="1:7">
      <c r="A1075" s="3" t="str">
        <f>"3474"</f>
        <v>3474</v>
      </c>
      <c r="B1075" s="3" t="s">
        <v>2298</v>
      </c>
      <c r="C1075" s="3" t="str">
        <f t="shared" si="447"/>
        <v>黑石铺街道</v>
      </c>
      <c r="D1075" s="3" t="str">
        <f t="shared" si="448"/>
        <v>铭安社区</v>
      </c>
      <c r="E1075" s="3" t="str">
        <f t="shared" si="431"/>
        <v>140</v>
      </c>
      <c r="F1075" s="3" t="str">
        <f>"0"</f>
        <v>0</v>
      </c>
      <c r="G1075" s="3" t="str">
        <f>"三级"</f>
        <v>三级</v>
      </c>
    </row>
    <row r="1076" customHeight="1" spans="1:7">
      <c r="A1076" s="3" t="str">
        <f>"3475"</f>
        <v>3475</v>
      </c>
      <c r="B1076" s="3" t="s">
        <v>1615</v>
      </c>
      <c r="C1076" s="3" t="str">
        <f t="shared" si="447"/>
        <v>黑石铺街道</v>
      </c>
      <c r="D1076" s="3" t="str">
        <f t="shared" si="448"/>
        <v>铭安社区</v>
      </c>
      <c r="E1076" s="3" t="str">
        <f t="shared" si="431"/>
        <v>140</v>
      </c>
      <c r="F1076" s="3" t="str">
        <f t="shared" ref="F1076:F1094" si="452">"100"</f>
        <v>100</v>
      </c>
      <c r="G1076" s="3" t="str">
        <f t="shared" si="451"/>
        <v>二级</v>
      </c>
    </row>
    <row r="1077" customHeight="1" spans="1:7">
      <c r="A1077" s="3" t="str">
        <f>"3476"</f>
        <v>3476</v>
      </c>
      <c r="B1077" s="3" t="s">
        <v>2299</v>
      </c>
      <c r="C1077" s="3" t="str">
        <f>"青园街道"</f>
        <v>青园街道</v>
      </c>
      <c r="D1077" s="3" t="str">
        <f>"井湾子社区"</f>
        <v>井湾子社区</v>
      </c>
      <c r="E1077" s="3" t="str">
        <f t="shared" si="431"/>
        <v>140</v>
      </c>
      <c r="F1077" s="3" t="str">
        <f t="shared" si="452"/>
        <v>100</v>
      </c>
      <c r="G1077" s="3" t="str">
        <f>"一级"</f>
        <v>一级</v>
      </c>
    </row>
    <row r="1078" customHeight="1" spans="1:7">
      <c r="A1078" s="3" t="str">
        <f>"3477"</f>
        <v>3477</v>
      </c>
      <c r="B1078" s="3" t="s">
        <v>2300</v>
      </c>
      <c r="C1078" s="3" t="str">
        <f>"先锋街道"</f>
        <v>先锋街道</v>
      </c>
      <c r="D1078" s="3" t="str">
        <f>"南城社区"</f>
        <v>南城社区</v>
      </c>
      <c r="E1078" s="3" t="str">
        <f t="shared" si="431"/>
        <v>140</v>
      </c>
      <c r="F1078" s="3" t="str">
        <f t="shared" si="452"/>
        <v>100</v>
      </c>
      <c r="G1078" s="3" t="str">
        <f t="shared" si="451"/>
        <v>二级</v>
      </c>
    </row>
    <row r="1079" customHeight="1" spans="1:7">
      <c r="A1079" s="3" t="str">
        <f>"3478"</f>
        <v>3478</v>
      </c>
      <c r="B1079" s="3" t="s">
        <v>2301</v>
      </c>
      <c r="C1079" s="3" t="str">
        <f>"裕南街街道"</f>
        <v>裕南街街道</v>
      </c>
      <c r="D1079" s="3" t="str">
        <f>"杏花园社区"</f>
        <v>杏花园社区</v>
      </c>
      <c r="E1079" s="3" t="str">
        <f t="shared" si="431"/>
        <v>140</v>
      </c>
      <c r="F1079" s="3" t="str">
        <f t="shared" si="452"/>
        <v>100</v>
      </c>
      <c r="G1079" s="3" t="str">
        <f t="shared" si="451"/>
        <v>二级</v>
      </c>
    </row>
    <row r="1080" customHeight="1" spans="1:7">
      <c r="A1080" s="3" t="str">
        <f>"3479"</f>
        <v>3479</v>
      </c>
      <c r="B1080" s="3" t="s">
        <v>2302</v>
      </c>
      <c r="C1080" s="3" t="str">
        <f>"文源街道"</f>
        <v>文源街道</v>
      </c>
      <c r="D1080" s="3" t="str">
        <f>"梅岭社区"</f>
        <v>梅岭社区</v>
      </c>
      <c r="E1080" s="3" t="str">
        <f t="shared" si="431"/>
        <v>140</v>
      </c>
      <c r="F1080" s="3" t="str">
        <f t="shared" si="452"/>
        <v>100</v>
      </c>
      <c r="G1080" s="3" t="str">
        <f t="shared" si="451"/>
        <v>二级</v>
      </c>
    </row>
    <row r="1081" customHeight="1" spans="1:7">
      <c r="A1081" s="3" t="str">
        <f>"3480"</f>
        <v>3480</v>
      </c>
      <c r="B1081" s="3" t="s">
        <v>2303</v>
      </c>
      <c r="C1081" s="3" t="str">
        <f>"南托街道"</f>
        <v>南托街道</v>
      </c>
      <c r="D1081" s="3" t="str">
        <f>"北塘社区"</f>
        <v>北塘社区</v>
      </c>
      <c r="E1081" s="3" t="str">
        <f t="shared" si="431"/>
        <v>140</v>
      </c>
      <c r="F1081" s="3" t="str">
        <f t="shared" si="452"/>
        <v>100</v>
      </c>
      <c r="G1081" s="3" t="str">
        <f t="shared" si="451"/>
        <v>二级</v>
      </c>
    </row>
    <row r="1082" customHeight="1" spans="1:7">
      <c r="A1082" s="3" t="str">
        <f>"3481"</f>
        <v>3481</v>
      </c>
      <c r="B1082" s="3" t="s">
        <v>691</v>
      </c>
      <c r="C1082" s="3" t="str">
        <f>"青园街道"</f>
        <v>青园街道</v>
      </c>
      <c r="D1082" s="3" t="str">
        <f>"青园社区"</f>
        <v>青园社区</v>
      </c>
      <c r="E1082" s="3" t="str">
        <f t="shared" si="431"/>
        <v>140</v>
      </c>
      <c r="F1082" s="3" t="str">
        <f t="shared" si="452"/>
        <v>100</v>
      </c>
      <c r="G1082" s="3" t="str">
        <f t="shared" si="451"/>
        <v>二级</v>
      </c>
    </row>
    <row r="1083" customHeight="1" spans="1:7">
      <c r="A1083" s="3" t="str">
        <f>"3482"</f>
        <v>3482</v>
      </c>
      <c r="B1083" s="3" t="s">
        <v>2304</v>
      </c>
      <c r="C1083" s="3" t="str">
        <f>"坡子街街道"</f>
        <v>坡子街街道</v>
      </c>
      <c r="D1083" s="3" t="str">
        <f>"西湖社区"</f>
        <v>西湖社区</v>
      </c>
      <c r="E1083" s="3" t="str">
        <f t="shared" si="431"/>
        <v>140</v>
      </c>
      <c r="F1083" s="3" t="str">
        <f t="shared" si="452"/>
        <v>100</v>
      </c>
      <c r="G1083" s="3" t="str">
        <f t="shared" si="451"/>
        <v>二级</v>
      </c>
    </row>
    <row r="1084" customHeight="1" spans="1:7">
      <c r="A1084" s="3" t="str">
        <f>"3483"</f>
        <v>3483</v>
      </c>
      <c r="B1084" s="3" t="s">
        <v>2305</v>
      </c>
      <c r="C1084" s="3" t="str">
        <f t="shared" ref="C1084:C1086" si="453">"赤岭路街道"</f>
        <v>赤岭路街道</v>
      </c>
      <c r="D1084" s="3" t="str">
        <f>"新丰社区"</f>
        <v>新丰社区</v>
      </c>
      <c r="E1084" s="3" t="str">
        <f t="shared" si="431"/>
        <v>140</v>
      </c>
      <c r="F1084" s="3" t="str">
        <f t="shared" si="452"/>
        <v>100</v>
      </c>
      <c r="G1084" s="3" t="str">
        <f t="shared" ref="G1084:G1090" si="454">"一级"</f>
        <v>一级</v>
      </c>
    </row>
    <row r="1085" customHeight="1" spans="1:7">
      <c r="A1085" s="3" t="str">
        <f>"3484"</f>
        <v>3484</v>
      </c>
      <c r="B1085" s="3" t="s">
        <v>2306</v>
      </c>
      <c r="C1085" s="3" t="str">
        <f t="shared" si="453"/>
        <v>赤岭路街道</v>
      </c>
      <c r="D1085" s="3" t="str">
        <f>"芙蓉南路社区"</f>
        <v>芙蓉南路社区</v>
      </c>
      <c r="E1085" s="3" t="str">
        <f t="shared" si="431"/>
        <v>140</v>
      </c>
      <c r="F1085" s="3" t="str">
        <f t="shared" si="452"/>
        <v>100</v>
      </c>
      <c r="G1085" s="3" t="str">
        <f t="shared" ref="G1085:G1087" si="455">"二级"</f>
        <v>二级</v>
      </c>
    </row>
    <row r="1086" customHeight="1" spans="1:7">
      <c r="A1086" s="3" t="str">
        <f>"3485"</f>
        <v>3485</v>
      </c>
      <c r="B1086" s="3" t="s">
        <v>2307</v>
      </c>
      <c r="C1086" s="3" t="str">
        <f t="shared" si="453"/>
        <v>赤岭路街道</v>
      </c>
      <c r="D1086" s="3" t="str">
        <f>"新丰社区"</f>
        <v>新丰社区</v>
      </c>
      <c r="E1086" s="3" t="str">
        <f t="shared" si="431"/>
        <v>140</v>
      </c>
      <c r="F1086" s="3" t="str">
        <f t="shared" si="452"/>
        <v>100</v>
      </c>
      <c r="G1086" s="3" t="str">
        <f t="shared" si="455"/>
        <v>二级</v>
      </c>
    </row>
    <row r="1087" customHeight="1" spans="1:7">
      <c r="A1087" s="3" t="str">
        <f>"3486"</f>
        <v>3486</v>
      </c>
      <c r="B1087" s="3" t="s">
        <v>552</v>
      </c>
      <c r="C1087" s="3" t="str">
        <f>"暮云街道"</f>
        <v>暮云街道</v>
      </c>
      <c r="D1087" s="3" t="str">
        <f>"弘高社区"</f>
        <v>弘高社区</v>
      </c>
      <c r="E1087" s="3" t="str">
        <f t="shared" si="431"/>
        <v>140</v>
      </c>
      <c r="F1087" s="3" t="str">
        <f t="shared" si="452"/>
        <v>100</v>
      </c>
      <c r="G1087" s="3" t="str">
        <f t="shared" si="455"/>
        <v>二级</v>
      </c>
    </row>
    <row r="1088" customHeight="1" spans="1:7">
      <c r="A1088" s="3" t="str">
        <f>"3487"</f>
        <v>3487</v>
      </c>
      <c r="B1088" s="3" t="s">
        <v>2308</v>
      </c>
      <c r="C1088" s="3" t="str">
        <f>"坡子街街道"</f>
        <v>坡子街街道</v>
      </c>
      <c r="D1088" s="3" t="str">
        <f>"坡子街社区"</f>
        <v>坡子街社区</v>
      </c>
      <c r="E1088" s="3" t="str">
        <f t="shared" si="431"/>
        <v>140</v>
      </c>
      <c r="F1088" s="3" t="str">
        <f t="shared" si="452"/>
        <v>100</v>
      </c>
      <c r="G1088" s="3" t="str">
        <f t="shared" si="454"/>
        <v>一级</v>
      </c>
    </row>
    <row r="1089" customHeight="1" spans="1:7">
      <c r="A1089" s="3" t="str">
        <f>"3488"</f>
        <v>3488</v>
      </c>
      <c r="B1089" s="3" t="s">
        <v>2309</v>
      </c>
      <c r="C1089" s="3" t="str">
        <f>"南托街道"</f>
        <v>南托街道</v>
      </c>
      <c r="D1089" s="3" t="str">
        <f>"牛角塘村"</f>
        <v>牛角塘村</v>
      </c>
      <c r="E1089" s="3" t="str">
        <f t="shared" si="431"/>
        <v>140</v>
      </c>
      <c r="F1089" s="3" t="str">
        <f t="shared" si="452"/>
        <v>100</v>
      </c>
      <c r="G1089" s="3" t="str">
        <f t="shared" si="454"/>
        <v>一级</v>
      </c>
    </row>
    <row r="1090" customHeight="1" spans="1:7">
      <c r="A1090" s="3" t="str">
        <f>"3489"</f>
        <v>3489</v>
      </c>
      <c r="B1090" s="3" t="s">
        <v>848</v>
      </c>
      <c r="C1090" s="3" t="str">
        <f t="shared" ref="C1090:C1094" si="456">"裕南街街道"</f>
        <v>裕南街街道</v>
      </c>
      <c r="D1090" s="3" t="str">
        <f>"东瓜山社区"</f>
        <v>东瓜山社区</v>
      </c>
      <c r="E1090" s="3" t="str">
        <f t="shared" ref="E1090:E1153" si="457">"140"</f>
        <v>140</v>
      </c>
      <c r="F1090" s="3" t="str">
        <f t="shared" si="452"/>
        <v>100</v>
      </c>
      <c r="G1090" s="3" t="str">
        <f t="shared" si="454"/>
        <v>一级</v>
      </c>
    </row>
    <row r="1091" customHeight="1" spans="1:7">
      <c r="A1091" s="3" t="str">
        <f>"3490"</f>
        <v>3490</v>
      </c>
      <c r="B1091" s="3" t="s">
        <v>2310</v>
      </c>
      <c r="C1091" s="3" t="str">
        <f t="shared" si="456"/>
        <v>裕南街街道</v>
      </c>
      <c r="D1091" s="3" t="str">
        <f>"长坡社区"</f>
        <v>长坡社区</v>
      </c>
      <c r="E1091" s="3" t="str">
        <f t="shared" si="457"/>
        <v>140</v>
      </c>
      <c r="F1091" s="3" t="str">
        <f t="shared" si="452"/>
        <v>100</v>
      </c>
      <c r="G1091" s="3" t="str">
        <f>"二级"</f>
        <v>二级</v>
      </c>
    </row>
    <row r="1092" customHeight="1" spans="1:7">
      <c r="A1092" s="3" t="str">
        <f>"3491"</f>
        <v>3491</v>
      </c>
      <c r="B1092" s="3" t="s">
        <v>2311</v>
      </c>
      <c r="C1092" s="3" t="str">
        <f>"桂花坪街道"</f>
        <v>桂花坪街道</v>
      </c>
      <c r="D1092" s="3" t="str">
        <f>"丹桂社区"</f>
        <v>丹桂社区</v>
      </c>
      <c r="E1092" s="3" t="str">
        <f t="shared" si="457"/>
        <v>140</v>
      </c>
      <c r="F1092" s="3" t="str">
        <f t="shared" si="452"/>
        <v>100</v>
      </c>
      <c r="G1092" s="3" t="str">
        <f t="shared" ref="G1092:G1094" si="458">"一级"</f>
        <v>一级</v>
      </c>
    </row>
    <row r="1093" customHeight="1" spans="1:7">
      <c r="A1093" s="3" t="str">
        <f>"3492"</f>
        <v>3492</v>
      </c>
      <c r="B1093" s="3" t="s">
        <v>2312</v>
      </c>
      <c r="C1093" s="3" t="str">
        <f>"坡子街街道"</f>
        <v>坡子街街道</v>
      </c>
      <c r="D1093" s="3" t="str">
        <f>"登仁桥社区"</f>
        <v>登仁桥社区</v>
      </c>
      <c r="E1093" s="3" t="str">
        <f t="shared" si="457"/>
        <v>140</v>
      </c>
      <c r="F1093" s="3" t="str">
        <f t="shared" si="452"/>
        <v>100</v>
      </c>
      <c r="G1093" s="3" t="str">
        <f t="shared" si="458"/>
        <v>一级</v>
      </c>
    </row>
    <row r="1094" customHeight="1" spans="1:7">
      <c r="A1094" s="3" t="str">
        <f>"3493"</f>
        <v>3493</v>
      </c>
      <c r="B1094" s="3" t="s">
        <v>767</v>
      </c>
      <c r="C1094" s="3" t="str">
        <f t="shared" si="456"/>
        <v>裕南街街道</v>
      </c>
      <c r="D1094" s="3" t="str">
        <f>"石子冲社区"</f>
        <v>石子冲社区</v>
      </c>
      <c r="E1094" s="3" t="str">
        <f t="shared" si="457"/>
        <v>140</v>
      </c>
      <c r="F1094" s="3" t="str">
        <f t="shared" si="452"/>
        <v>100</v>
      </c>
      <c r="G1094" s="3" t="str">
        <f t="shared" si="458"/>
        <v>一级</v>
      </c>
    </row>
    <row r="1095" customHeight="1" spans="1:7">
      <c r="A1095" s="3" t="str">
        <f>"3494"</f>
        <v>3494</v>
      </c>
      <c r="B1095" s="3" t="s">
        <v>2313</v>
      </c>
      <c r="C1095" s="3" t="str">
        <f>"坡子街街道"</f>
        <v>坡子街街道</v>
      </c>
      <c r="D1095" s="3" t="str">
        <f>"碧湘社区"</f>
        <v>碧湘社区</v>
      </c>
      <c r="E1095" s="3" t="str">
        <f t="shared" si="457"/>
        <v>140</v>
      </c>
      <c r="F1095" s="3" t="str">
        <f>"0"</f>
        <v>0</v>
      </c>
      <c r="G1095" s="3" t="str">
        <f>"四级"</f>
        <v>四级</v>
      </c>
    </row>
    <row r="1096" customHeight="1" spans="1:7">
      <c r="A1096" s="3" t="str">
        <f>"3495"</f>
        <v>3495</v>
      </c>
      <c r="B1096" s="3" t="s">
        <v>2314</v>
      </c>
      <c r="C1096" s="3" t="str">
        <f>"金盆岭街道"</f>
        <v>金盆岭街道</v>
      </c>
      <c r="D1096" s="3" t="str">
        <f>"夏家冲社区"</f>
        <v>夏家冲社区</v>
      </c>
      <c r="E1096" s="3" t="str">
        <f t="shared" si="457"/>
        <v>140</v>
      </c>
      <c r="F1096" s="3" t="str">
        <f t="shared" ref="F1096:F1119" si="459">"100"</f>
        <v>100</v>
      </c>
      <c r="G1096" s="3" t="str">
        <f t="shared" ref="G1096:G1099" si="460">"二级"</f>
        <v>二级</v>
      </c>
    </row>
    <row r="1097" customHeight="1" spans="1:7">
      <c r="A1097" s="3" t="str">
        <f>"3496"</f>
        <v>3496</v>
      </c>
      <c r="B1097" s="3" t="s">
        <v>2315</v>
      </c>
      <c r="C1097" s="3" t="str">
        <f>"南托街道"</f>
        <v>南托街道</v>
      </c>
      <c r="D1097" s="3" t="str">
        <f>"牛角塘村"</f>
        <v>牛角塘村</v>
      </c>
      <c r="E1097" s="3" t="str">
        <f t="shared" si="457"/>
        <v>140</v>
      </c>
      <c r="F1097" s="3" t="str">
        <f t="shared" si="459"/>
        <v>100</v>
      </c>
      <c r="G1097" s="3" t="str">
        <f t="shared" si="460"/>
        <v>二级</v>
      </c>
    </row>
    <row r="1098" customHeight="1" spans="1:7">
      <c r="A1098" s="3" t="str">
        <f>"3497"</f>
        <v>3497</v>
      </c>
      <c r="B1098" s="3" t="s">
        <v>845</v>
      </c>
      <c r="C1098" s="3" t="str">
        <f>"金盆岭街道"</f>
        <v>金盆岭街道</v>
      </c>
      <c r="D1098" s="3" t="str">
        <f>"天剑社区"</f>
        <v>天剑社区</v>
      </c>
      <c r="E1098" s="3" t="str">
        <f t="shared" si="457"/>
        <v>140</v>
      </c>
      <c r="F1098" s="3" t="str">
        <f>"0"</f>
        <v>0</v>
      </c>
      <c r="G1098" s="3" t="str">
        <f>"四级"</f>
        <v>四级</v>
      </c>
    </row>
    <row r="1099" customHeight="1" spans="1:7">
      <c r="A1099" s="3" t="str">
        <f>"3498"</f>
        <v>3498</v>
      </c>
      <c r="B1099" s="3" t="s">
        <v>1659</v>
      </c>
      <c r="C1099" s="3" t="str">
        <f>"文源街道"</f>
        <v>文源街道</v>
      </c>
      <c r="D1099" s="3" t="str">
        <f>"天鸿社区"</f>
        <v>天鸿社区</v>
      </c>
      <c r="E1099" s="3" t="str">
        <f t="shared" si="457"/>
        <v>140</v>
      </c>
      <c r="F1099" s="3" t="str">
        <f t="shared" si="459"/>
        <v>100</v>
      </c>
      <c r="G1099" s="3" t="str">
        <f t="shared" si="460"/>
        <v>二级</v>
      </c>
    </row>
    <row r="1100" customHeight="1" spans="1:7">
      <c r="A1100" s="3" t="str">
        <f>"3499"</f>
        <v>3499</v>
      </c>
      <c r="B1100" s="3" t="s">
        <v>70</v>
      </c>
      <c r="C1100" s="3" t="str">
        <f t="shared" ref="C1100:C1102" si="461">"黑石铺街道"</f>
        <v>黑石铺街道</v>
      </c>
      <c r="D1100" s="3" t="str">
        <f t="shared" ref="D1100:D1102" si="462">"铭安社区"</f>
        <v>铭安社区</v>
      </c>
      <c r="E1100" s="3" t="str">
        <f t="shared" si="457"/>
        <v>140</v>
      </c>
      <c r="F1100" s="3" t="str">
        <f t="shared" si="459"/>
        <v>100</v>
      </c>
      <c r="G1100" s="3" t="str">
        <f>"一级"</f>
        <v>一级</v>
      </c>
    </row>
    <row r="1101" customHeight="1" spans="1:7">
      <c r="A1101" s="3" t="str">
        <f>"3500"</f>
        <v>3500</v>
      </c>
      <c r="B1101" s="3" t="s">
        <v>139</v>
      </c>
      <c r="C1101" s="3" t="str">
        <f t="shared" si="461"/>
        <v>黑石铺街道</v>
      </c>
      <c r="D1101" s="3" t="str">
        <f t="shared" si="462"/>
        <v>铭安社区</v>
      </c>
      <c r="E1101" s="3" t="str">
        <f t="shared" si="457"/>
        <v>140</v>
      </c>
      <c r="F1101" s="3" t="str">
        <f t="shared" si="459"/>
        <v>100</v>
      </c>
      <c r="G1101" s="3" t="str">
        <f t="shared" ref="G1101:G1105" si="463">"二级"</f>
        <v>二级</v>
      </c>
    </row>
    <row r="1102" customHeight="1" spans="1:7">
      <c r="A1102" s="3" t="str">
        <f>"3501"</f>
        <v>3501</v>
      </c>
      <c r="B1102" s="3" t="s">
        <v>2316</v>
      </c>
      <c r="C1102" s="3" t="str">
        <f t="shared" si="461"/>
        <v>黑石铺街道</v>
      </c>
      <c r="D1102" s="3" t="str">
        <f t="shared" si="462"/>
        <v>铭安社区</v>
      </c>
      <c r="E1102" s="3" t="str">
        <f t="shared" si="457"/>
        <v>140</v>
      </c>
      <c r="F1102" s="3" t="str">
        <f t="shared" si="459"/>
        <v>100</v>
      </c>
      <c r="G1102" s="3" t="str">
        <f t="shared" si="463"/>
        <v>二级</v>
      </c>
    </row>
    <row r="1103" customHeight="1" spans="1:7">
      <c r="A1103" s="3" t="str">
        <f>"3502"</f>
        <v>3502</v>
      </c>
      <c r="B1103" s="3" t="s">
        <v>2192</v>
      </c>
      <c r="C1103" s="3" t="str">
        <f>"新开铺街道"</f>
        <v>新开铺街道</v>
      </c>
      <c r="D1103" s="3" t="str">
        <f>"新天社区"</f>
        <v>新天社区</v>
      </c>
      <c r="E1103" s="3" t="str">
        <f t="shared" si="457"/>
        <v>140</v>
      </c>
      <c r="F1103" s="3" t="str">
        <f t="shared" si="459"/>
        <v>100</v>
      </c>
      <c r="G1103" s="3" t="str">
        <f>"一级"</f>
        <v>一级</v>
      </c>
    </row>
    <row r="1104" customHeight="1" spans="1:7">
      <c r="A1104" s="3" t="str">
        <f>"3503"</f>
        <v>3503</v>
      </c>
      <c r="B1104" s="3" t="s">
        <v>2317</v>
      </c>
      <c r="C1104" s="3" t="str">
        <f>"黑石铺街道"</f>
        <v>黑石铺街道</v>
      </c>
      <c r="D1104" s="3" t="str">
        <f>"披塘村委会"</f>
        <v>披塘村委会</v>
      </c>
      <c r="E1104" s="3" t="str">
        <f t="shared" si="457"/>
        <v>140</v>
      </c>
      <c r="F1104" s="3" t="str">
        <f t="shared" si="459"/>
        <v>100</v>
      </c>
      <c r="G1104" s="3" t="str">
        <f t="shared" si="463"/>
        <v>二级</v>
      </c>
    </row>
    <row r="1105" customHeight="1" spans="1:7">
      <c r="A1105" s="3" t="str">
        <f>"3504"</f>
        <v>3504</v>
      </c>
      <c r="B1105" s="3" t="s">
        <v>1739</v>
      </c>
      <c r="C1105" s="3" t="str">
        <f>"黑石铺街道"</f>
        <v>黑石铺街道</v>
      </c>
      <c r="D1105" s="3" t="str">
        <f>"披塘村委会"</f>
        <v>披塘村委会</v>
      </c>
      <c r="E1105" s="3" t="str">
        <f t="shared" si="457"/>
        <v>140</v>
      </c>
      <c r="F1105" s="3" t="str">
        <f t="shared" si="459"/>
        <v>100</v>
      </c>
      <c r="G1105" s="3" t="str">
        <f t="shared" si="463"/>
        <v>二级</v>
      </c>
    </row>
    <row r="1106" customHeight="1" spans="1:7">
      <c r="A1106" s="3" t="str">
        <f>"3505"</f>
        <v>3505</v>
      </c>
      <c r="B1106" s="3" t="s">
        <v>2318</v>
      </c>
      <c r="C1106" s="3" t="str">
        <f>"城南路街道"</f>
        <v>城南路街道</v>
      </c>
      <c r="D1106" s="3" t="str">
        <f>"吴家坪社区"</f>
        <v>吴家坪社区</v>
      </c>
      <c r="E1106" s="3" t="str">
        <f t="shared" si="457"/>
        <v>140</v>
      </c>
      <c r="F1106" s="3" t="str">
        <f t="shared" si="459"/>
        <v>100</v>
      </c>
      <c r="G1106" s="3" t="str">
        <f t="shared" ref="G1106:G1111" si="464">"一级"</f>
        <v>一级</v>
      </c>
    </row>
    <row r="1107" customHeight="1" spans="1:7">
      <c r="A1107" s="3" t="str">
        <f>"3506"</f>
        <v>3506</v>
      </c>
      <c r="B1107" s="3" t="s">
        <v>855</v>
      </c>
      <c r="C1107" s="3" t="str">
        <f>"青园街道"</f>
        <v>青园街道</v>
      </c>
      <c r="D1107" s="3" t="str">
        <f>"井湾子社区"</f>
        <v>井湾子社区</v>
      </c>
      <c r="E1107" s="3" t="str">
        <f t="shared" si="457"/>
        <v>140</v>
      </c>
      <c r="F1107" s="3" t="str">
        <f t="shared" si="459"/>
        <v>100</v>
      </c>
      <c r="G1107" s="3" t="str">
        <f t="shared" ref="G1107:G1110" si="465">"二级"</f>
        <v>二级</v>
      </c>
    </row>
    <row r="1108" customHeight="1" spans="1:7">
      <c r="A1108" s="3" t="str">
        <f>"3507"</f>
        <v>3507</v>
      </c>
      <c r="B1108" s="3" t="s">
        <v>2319</v>
      </c>
      <c r="C1108" s="3" t="str">
        <f>"青园街道"</f>
        <v>青园街道</v>
      </c>
      <c r="D1108" s="3" t="str">
        <f>"井湾子社区"</f>
        <v>井湾子社区</v>
      </c>
      <c r="E1108" s="3" t="str">
        <f t="shared" si="457"/>
        <v>140</v>
      </c>
      <c r="F1108" s="3" t="str">
        <f t="shared" si="459"/>
        <v>100</v>
      </c>
      <c r="G1108" s="3" t="str">
        <f t="shared" si="465"/>
        <v>二级</v>
      </c>
    </row>
    <row r="1109" customHeight="1" spans="1:7">
      <c r="A1109" s="3" t="str">
        <f>"3508"</f>
        <v>3508</v>
      </c>
      <c r="B1109" s="3" t="s">
        <v>32</v>
      </c>
      <c r="C1109" s="3" t="str">
        <f>"大托铺街道"</f>
        <v>大托铺街道</v>
      </c>
      <c r="D1109" s="3" t="str">
        <f>"新港村委会"</f>
        <v>新港村委会</v>
      </c>
      <c r="E1109" s="3" t="str">
        <f t="shared" si="457"/>
        <v>140</v>
      </c>
      <c r="F1109" s="3" t="str">
        <f t="shared" si="459"/>
        <v>100</v>
      </c>
      <c r="G1109" s="3" t="str">
        <f t="shared" si="464"/>
        <v>一级</v>
      </c>
    </row>
    <row r="1110" customHeight="1" spans="1:7">
      <c r="A1110" s="3" t="str">
        <f>"3509"</f>
        <v>3509</v>
      </c>
      <c r="B1110" s="3" t="s">
        <v>2320</v>
      </c>
      <c r="C1110" s="3" t="str">
        <f>"坡子街街道"</f>
        <v>坡子街街道</v>
      </c>
      <c r="D1110" s="3" t="str">
        <f>"青山祠社区"</f>
        <v>青山祠社区</v>
      </c>
      <c r="E1110" s="3" t="str">
        <f t="shared" si="457"/>
        <v>140</v>
      </c>
      <c r="F1110" s="3" t="str">
        <f t="shared" si="459"/>
        <v>100</v>
      </c>
      <c r="G1110" s="3" t="str">
        <f t="shared" si="465"/>
        <v>二级</v>
      </c>
    </row>
    <row r="1111" customHeight="1" spans="1:7">
      <c r="A1111" s="3" t="str">
        <f>"3510"</f>
        <v>3510</v>
      </c>
      <c r="B1111" s="3" t="s">
        <v>2321</v>
      </c>
      <c r="C1111" s="3" t="str">
        <f>"文源街道"</f>
        <v>文源街道</v>
      </c>
      <c r="D1111" s="3" t="str">
        <f>"天鸿社区"</f>
        <v>天鸿社区</v>
      </c>
      <c r="E1111" s="3" t="str">
        <f t="shared" si="457"/>
        <v>140</v>
      </c>
      <c r="F1111" s="3" t="str">
        <f t="shared" si="459"/>
        <v>100</v>
      </c>
      <c r="G1111" s="3" t="str">
        <f t="shared" si="464"/>
        <v>一级</v>
      </c>
    </row>
    <row r="1112" customHeight="1" spans="1:7">
      <c r="A1112" s="3" t="str">
        <f>"3511"</f>
        <v>3511</v>
      </c>
      <c r="B1112" s="3" t="s">
        <v>1580</v>
      </c>
      <c r="C1112" s="3" t="str">
        <f>"黑石铺街道"</f>
        <v>黑石铺街道</v>
      </c>
      <c r="D1112" s="3" t="str">
        <f>"黑石铺社区"</f>
        <v>黑石铺社区</v>
      </c>
      <c r="E1112" s="3" t="str">
        <f t="shared" si="457"/>
        <v>140</v>
      </c>
      <c r="F1112" s="3" t="str">
        <f t="shared" si="459"/>
        <v>100</v>
      </c>
      <c r="G1112" s="3" t="str">
        <f t="shared" ref="G1112:G1116" si="466">"二级"</f>
        <v>二级</v>
      </c>
    </row>
    <row r="1113" customHeight="1" spans="1:7">
      <c r="A1113" s="3" t="str">
        <f>"3512"</f>
        <v>3512</v>
      </c>
      <c r="B1113" s="3" t="s">
        <v>80</v>
      </c>
      <c r="C1113" s="3" t="str">
        <f>"坡子街街道"</f>
        <v>坡子街街道</v>
      </c>
      <c r="D1113" s="3" t="str">
        <f>"碧湘社区"</f>
        <v>碧湘社区</v>
      </c>
      <c r="E1113" s="3" t="str">
        <f t="shared" si="457"/>
        <v>140</v>
      </c>
      <c r="F1113" s="3" t="str">
        <f t="shared" si="459"/>
        <v>100</v>
      </c>
      <c r="G1113" s="3" t="str">
        <f t="shared" si="466"/>
        <v>二级</v>
      </c>
    </row>
    <row r="1114" customHeight="1" spans="1:7">
      <c r="A1114" s="3" t="str">
        <f>"3513"</f>
        <v>3513</v>
      </c>
      <c r="B1114" s="3" t="s">
        <v>2322</v>
      </c>
      <c r="C1114" s="3" t="str">
        <f>"南托街道"</f>
        <v>南托街道</v>
      </c>
      <c r="D1114" s="3" t="str">
        <f>"南托岭社区"</f>
        <v>南托岭社区</v>
      </c>
      <c r="E1114" s="3" t="str">
        <f t="shared" si="457"/>
        <v>140</v>
      </c>
      <c r="F1114" s="3" t="str">
        <f t="shared" si="459"/>
        <v>100</v>
      </c>
      <c r="G1114" s="3" t="str">
        <f t="shared" si="466"/>
        <v>二级</v>
      </c>
    </row>
    <row r="1115" customHeight="1" spans="1:7">
      <c r="A1115" s="3" t="str">
        <f>"3514"</f>
        <v>3514</v>
      </c>
      <c r="B1115" s="3" t="s">
        <v>18</v>
      </c>
      <c r="C1115" s="3" t="str">
        <f>"裕南街街道"</f>
        <v>裕南街街道</v>
      </c>
      <c r="D1115" s="3" t="str">
        <f>"长坡社区"</f>
        <v>长坡社区</v>
      </c>
      <c r="E1115" s="3" t="str">
        <f t="shared" si="457"/>
        <v>140</v>
      </c>
      <c r="F1115" s="3" t="str">
        <f t="shared" si="459"/>
        <v>100</v>
      </c>
      <c r="G1115" s="3" t="str">
        <f t="shared" si="466"/>
        <v>二级</v>
      </c>
    </row>
    <row r="1116" customHeight="1" spans="1:7">
      <c r="A1116" s="3" t="str">
        <f>"3515"</f>
        <v>3515</v>
      </c>
      <c r="B1116" s="3" t="s">
        <v>1623</v>
      </c>
      <c r="C1116" s="3" t="str">
        <f>"坡子街街道"</f>
        <v>坡子街街道</v>
      </c>
      <c r="D1116" s="3" t="str">
        <f>"坡子街社区"</f>
        <v>坡子街社区</v>
      </c>
      <c r="E1116" s="3" t="str">
        <f t="shared" si="457"/>
        <v>140</v>
      </c>
      <c r="F1116" s="3" t="str">
        <f t="shared" si="459"/>
        <v>100</v>
      </c>
      <c r="G1116" s="3" t="str">
        <f t="shared" si="466"/>
        <v>二级</v>
      </c>
    </row>
    <row r="1117" customHeight="1" spans="1:7">
      <c r="A1117" s="3" t="str">
        <f>"3516"</f>
        <v>3516</v>
      </c>
      <c r="B1117" s="3" t="s">
        <v>2323</v>
      </c>
      <c r="C1117" s="3" t="str">
        <f>"金盆岭街道"</f>
        <v>金盆岭街道</v>
      </c>
      <c r="D1117" s="3" t="str">
        <f>"涂新社区"</f>
        <v>涂新社区</v>
      </c>
      <c r="E1117" s="3" t="str">
        <f t="shared" si="457"/>
        <v>140</v>
      </c>
      <c r="F1117" s="3" t="str">
        <f t="shared" si="459"/>
        <v>100</v>
      </c>
      <c r="G1117" s="3" t="str">
        <f>"一级"</f>
        <v>一级</v>
      </c>
    </row>
    <row r="1118" customHeight="1" spans="1:7">
      <c r="A1118" s="3" t="str">
        <f>"3517"</f>
        <v>3517</v>
      </c>
      <c r="B1118" s="3" t="s">
        <v>2324</v>
      </c>
      <c r="C1118" s="3" t="str">
        <f>"裕南街街道"</f>
        <v>裕南街街道</v>
      </c>
      <c r="D1118" s="3" t="str">
        <f>"碧沙湖社区"</f>
        <v>碧沙湖社区</v>
      </c>
      <c r="E1118" s="3" t="str">
        <f t="shared" si="457"/>
        <v>140</v>
      </c>
      <c r="F1118" s="3" t="str">
        <f t="shared" si="459"/>
        <v>100</v>
      </c>
      <c r="G1118" s="3" t="str">
        <f t="shared" ref="G1118:G1125" si="467">"二级"</f>
        <v>二级</v>
      </c>
    </row>
    <row r="1119" customHeight="1" spans="1:7">
      <c r="A1119" s="3" t="str">
        <f>"3518"</f>
        <v>3518</v>
      </c>
      <c r="B1119" s="3" t="s">
        <v>146</v>
      </c>
      <c r="C1119" s="3" t="str">
        <f>"新开铺街道"</f>
        <v>新开铺街道</v>
      </c>
      <c r="D1119" s="3" t="str">
        <f>"新天社区"</f>
        <v>新天社区</v>
      </c>
      <c r="E1119" s="3" t="str">
        <f t="shared" si="457"/>
        <v>140</v>
      </c>
      <c r="F1119" s="3" t="str">
        <f t="shared" si="459"/>
        <v>100</v>
      </c>
      <c r="G1119" s="3" t="str">
        <f t="shared" si="467"/>
        <v>二级</v>
      </c>
    </row>
    <row r="1120" customHeight="1" spans="1:7">
      <c r="A1120" s="3" t="str">
        <f>"3519"</f>
        <v>3519</v>
      </c>
      <c r="B1120" s="3" t="s">
        <v>2325</v>
      </c>
      <c r="C1120" s="3" t="str">
        <f>"文源街道"</f>
        <v>文源街道</v>
      </c>
      <c r="D1120" s="3" t="str">
        <f>"天鸿社区"</f>
        <v>天鸿社区</v>
      </c>
      <c r="E1120" s="3" t="str">
        <f t="shared" si="457"/>
        <v>140</v>
      </c>
      <c r="F1120" s="3" t="str">
        <f>"0"</f>
        <v>0</v>
      </c>
      <c r="G1120" s="3" t="str">
        <f>"四级"</f>
        <v>四级</v>
      </c>
    </row>
    <row r="1121" customHeight="1" spans="1:7">
      <c r="A1121" s="3" t="str">
        <f>"3520"</f>
        <v>3520</v>
      </c>
      <c r="B1121" s="3" t="s">
        <v>2326</v>
      </c>
      <c r="C1121" s="3" t="str">
        <f t="shared" ref="C1121:C1127" si="468">"裕南街街道"</f>
        <v>裕南街街道</v>
      </c>
      <c r="D1121" s="3" t="str">
        <f>"东瓜山社区"</f>
        <v>东瓜山社区</v>
      </c>
      <c r="E1121" s="3" t="str">
        <f t="shared" si="457"/>
        <v>140</v>
      </c>
      <c r="F1121" s="3" t="str">
        <f>"0"</f>
        <v>0</v>
      </c>
      <c r="G1121" s="3" t="str">
        <f>"三级"</f>
        <v>三级</v>
      </c>
    </row>
    <row r="1122" customHeight="1" spans="1:7">
      <c r="A1122" s="3" t="str">
        <f>"3521"</f>
        <v>3521</v>
      </c>
      <c r="B1122" s="3" t="s">
        <v>2327</v>
      </c>
      <c r="C1122" s="3" t="str">
        <f>"城南路街道"</f>
        <v>城南路街道</v>
      </c>
      <c r="D1122" s="3" t="str">
        <f>"吴家坪社区"</f>
        <v>吴家坪社区</v>
      </c>
      <c r="E1122" s="3" t="str">
        <f t="shared" si="457"/>
        <v>140</v>
      </c>
      <c r="F1122" s="3" t="str">
        <f t="shared" ref="F1122:F1125" si="469">"100"</f>
        <v>100</v>
      </c>
      <c r="G1122" s="3" t="str">
        <f t="shared" si="467"/>
        <v>二级</v>
      </c>
    </row>
    <row r="1123" customHeight="1" spans="1:7">
      <c r="A1123" s="3" t="str">
        <f>"3522"</f>
        <v>3522</v>
      </c>
      <c r="B1123" s="3" t="s">
        <v>462</v>
      </c>
      <c r="C1123" s="3" t="str">
        <f>"南托街道"</f>
        <v>南托街道</v>
      </c>
      <c r="D1123" s="3" t="str">
        <f>"牛角塘社区"</f>
        <v>牛角塘社区</v>
      </c>
      <c r="E1123" s="3" t="str">
        <f t="shared" si="457"/>
        <v>140</v>
      </c>
      <c r="F1123" s="3" t="str">
        <f t="shared" si="469"/>
        <v>100</v>
      </c>
      <c r="G1123" s="3" t="str">
        <f t="shared" si="467"/>
        <v>二级</v>
      </c>
    </row>
    <row r="1124" customHeight="1" spans="1:7">
      <c r="A1124" s="3" t="str">
        <f>"3523"</f>
        <v>3523</v>
      </c>
      <c r="B1124" s="3" t="s">
        <v>2328</v>
      </c>
      <c r="C1124" s="3" t="str">
        <f t="shared" si="468"/>
        <v>裕南街街道</v>
      </c>
      <c r="D1124" s="3" t="str">
        <f>"杏花园社区"</f>
        <v>杏花园社区</v>
      </c>
      <c r="E1124" s="3" t="str">
        <f t="shared" si="457"/>
        <v>140</v>
      </c>
      <c r="F1124" s="3" t="str">
        <f t="shared" si="469"/>
        <v>100</v>
      </c>
      <c r="G1124" s="3" t="str">
        <f t="shared" si="467"/>
        <v>二级</v>
      </c>
    </row>
    <row r="1125" customHeight="1" spans="1:7">
      <c r="A1125" s="3" t="str">
        <f>"3524"</f>
        <v>3524</v>
      </c>
      <c r="B1125" s="3" t="s">
        <v>2329</v>
      </c>
      <c r="C1125" s="3" t="str">
        <f t="shared" si="468"/>
        <v>裕南街街道</v>
      </c>
      <c r="D1125" s="3" t="str">
        <f>"向东南社区"</f>
        <v>向东南社区</v>
      </c>
      <c r="E1125" s="3" t="str">
        <f t="shared" si="457"/>
        <v>140</v>
      </c>
      <c r="F1125" s="3" t="str">
        <f t="shared" si="469"/>
        <v>100</v>
      </c>
      <c r="G1125" s="3" t="str">
        <f t="shared" si="467"/>
        <v>二级</v>
      </c>
    </row>
    <row r="1126" customHeight="1" spans="1:7">
      <c r="A1126" s="3" t="str">
        <f>"3525"</f>
        <v>3525</v>
      </c>
      <c r="B1126" s="3" t="s">
        <v>1113</v>
      </c>
      <c r="C1126" s="3" t="str">
        <f t="shared" si="468"/>
        <v>裕南街街道</v>
      </c>
      <c r="D1126" s="3" t="str">
        <f>"石子冲社区"</f>
        <v>石子冲社区</v>
      </c>
      <c r="E1126" s="3" t="str">
        <f t="shared" si="457"/>
        <v>140</v>
      </c>
      <c r="F1126" s="3" t="str">
        <f>"0"</f>
        <v>0</v>
      </c>
      <c r="G1126" s="3" t="str">
        <f>"三级"</f>
        <v>三级</v>
      </c>
    </row>
    <row r="1127" customHeight="1" spans="1:7">
      <c r="A1127" s="3" t="str">
        <f>"3526"</f>
        <v>3526</v>
      </c>
      <c r="B1127" s="3" t="s">
        <v>2330</v>
      </c>
      <c r="C1127" s="3" t="str">
        <f t="shared" si="468"/>
        <v>裕南街街道</v>
      </c>
      <c r="D1127" s="3" t="str">
        <f>"杏花园社区"</f>
        <v>杏花园社区</v>
      </c>
      <c r="E1127" s="3" t="str">
        <f t="shared" si="457"/>
        <v>140</v>
      </c>
      <c r="F1127" s="3" t="str">
        <f>"0"</f>
        <v>0</v>
      </c>
      <c r="G1127" s="3" t="str">
        <f>"三级"</f>
        <v>三级</v>
      </c>
    </row>
    <row r="1128" customHeight="1" spans="1:7">
      <c r="A1128" s="3" t="str">
        <f>"3527"</f>
        <v>3527</v>
      </c>
      <c r="B1128" s="3" t="s">
        <v>2331</v>
      </c>
      <c r="C1128" s="3" t="str">
        <f>"先锋街道"</f>
        <v>先锋街道</v>
      </c>
      <c r="D1128" s="3" t="str">
        <f>"南城社区"</f>
        <v>南城社区</v>
      </c>
      <c r="E1128" s="3" t="str">
        <f t="shared" si="457"/>
        <v>140</v>
      </c>
      <c r="F1128" s="3" t="str">
        <f t="shared" ref="F1128:F1143" si="470">"100"</f>
        <v>100</v>
      </c>
      <c r="G1128" s="3" t="str">
        <f t="shared" ref="G1128:G1130" si="471">"二级"</f>
        <v>二级</v>
      </c>
    </row>
    <row r="1129" customHeight="1" spans="1:7">
      <c r="A1129" s="3" t="str">
        <f>"3528"</f>
        <v>3528</v>
      </c>
      <c r="B1129" s="3" t="s">
        <v>2332</v>
      </c>
      <c r="C1129" s="3" t="str">
        <f>"金盆岭街道"</f>
        <v>金盆岭街道</v>
      </c>
      <c r="D1129" s="3" t="str">
        <f>"天剑社区"</f>
        <v>天剑社区</v>
      </c>
      <c r="E1129" s="3" t="str">
        <f t="shared" si="457"/>
        <v>140</v>
      </c>
      <c r="F1129" s="3" t="str">
        <f t="shared" si="470"/>
        <v>100</v>
      </c>
      <c r="G1129" s="3" t="str">
        <f t="shared" si="471"/>
        <v>二级</v>
      </c>
    </row>
    <row r="1130" customHeight="1" spans="1:7">
      <c r="A1130" s="3" t="str">
        <f>"3529"</f>
        <v>3529</v>
      </c>
      <c r="B1130" s="3" t="s">
        <v>2333</v>
      </c>
      <c r="C1130" s="3" t="str">
        <f>"新开铺街道"</f>
        <v>新开铺街道</v>
      </c>
      <c r="D1130" s="3" t="str">
        <f>"木莲社区"</f>
        <v>木莲社区</v>
      </c>
      <c r="E1130" s="3" t="str">
        <f t="shared" si="457"/>
        <v>140</v>
      </c>
      <c r="F1130" s="3" t="str">
        <f t="shared" si="470"/>
        <v>100</v>
      </c>
      <c r="G1130" s="3" t="str">
        <f t="shared" si="471"/>
        <v>二级</v>
      </c>
    </row>
    <row r="1131" customHeight="1" spans="1:7">
      <c r="A1131" s="3" t="str">
        <f>"3530"</f>
        <v>3530</v>
      </c>
      <c r="B1131" s="3" t="s">
        <v>2334</v>
      </c>
      <c r="C1131" s="3" t="str">
        <f>"南托街道"</f>
        <v>南托街道</v>
      </c>
      <c r="D1131" s="3" t="str">
        <f>"南托岭社区"</f>
        <v>南托岭社区</v>
      </c>
      <c r="E1131" s="3" t="str">
        <f t="shared" si="457"/>
        <v>140</v>
      </c>
      <c r="F1131" s="3" t="str">
        <f t="shared" si="470"/>
        <v>100</v>
      </c>
      <c r="G1131" s="3" t="str">
        <f t="shared" ref="G1131:G1136" si="472">"一级"</f>
        <v>一级</v>
      </c>
    </row>
    <row r="1132" customHeight="1" spans="1:7">
      <c r="A1132" s="3" t="str">
        <f>"3531"</f>
        <v>3531</v>
      </c>
      <c r="B1132" s="3" t="s">
        <v>2144</v>
      </c>
      <c r="C1132" s="3" t="str">
        <f t="shared" ref="C1132:C1143" si="473">"黑石铺街道"</f>
        <v>黑石铺街道</v>
      </c>
      <c r="D1132" s="3" t="str">
        <f t="shared" ref="D1132:D1143" si="474">"铭安社区"</f>
        <v>铭安社区</v>
      </c>
      <c r="E1132" s="3" t="str">
        <f t="shared" si="457"/>
        <v>140</v>
      </c>
      <c r="F1132" s="3" t="str">
        <f t="shared" si="470"/>
        <v>100</v>
      </c>
      <c r="G1132" s="3" t="str">
        <f t="shared" ref="G1132:G1134" si="475">"二级"</f>
        <v>二级</v>
      </c>
    </row>
    <row r="1133" customHeight="1" spans="1:7">
      <c r="A1133" s="3" t="str">
        <f>"3532"</f>
        <v>3532</v>
      </c>
      <c r="B1133" s="3" t="s">
        <v>2335</v>
      </c>
      <c r="C1133" s="3" t="str">
        <f t="shared" si="473"/>
        <v>黑石铺街道</v>
      </c>
      <c r="D1133" s="3" t="str">
        <f t="shared" si="474"/>
        <v>铭安社区</v>
      </c>
      <c r="E1133" s="3" t="str">
        <f t="shared" si="457"/>
        <v>140</v>
      </c>
      <c r="F1133" s="3" t="str">
        <f t="shared" si="470"/>
        <v>100</v>
      </c>
      <c r="G1133" s="3" t="str">
        <f t="shared" si="475"/>
        <v>二级</v>
      </c>
    </row>
    <row r="1134" customHeight="1" spans="1:7">
      <c r="A1134" s="3" t="str">
        <f>"3533"</f>
        <v>3533</v>
      </c>
      <c r="B1134" s="3" t="s">
        <v>141</v>
      </c>
      <c r="C1134" s="3" t="str">
        <f t="shared" si="473"/>
        <v>黑石铺街道</v>
      </c>
      <c r="D1134" s="3" t="str">
        <f t="shared" si="474"/>
        <v>铭安社区</v>
      </c>
      <c r="E1134" s="3" t="str">
        <f t="shared" si="457"/>
        <v>140</v>
      </c>
      <c r="F1134" s="3" t="str">
        <f t="shared" si="470"/>
        <v>100</v>
      </c>
      <c r="G1134" s="3" t="str">
        <f t="shared" si="475"/>
        <v>二级</v>
      </c>
    </row>
    <row r="1135" customHeight="1" spans="1:7">
      <c r="A1135" s="3" t="str">
        <f>"3534"</f>
        <v>3534</v>
      </c>
      <c r="B1135" s="3" t="s">
        <v>311</v>
      </c>
      <c r="C1135" s="3" t="str">
        <f t="shared" si="473"/>
        <v>黑石铺街道</v>
      </c>
      <c r="D1135" s="3" t="str">
        <f t="shared" si="474"/>
        <v>铭安社区</v>
      </c>
      <c r="E1135" s="3" t="str">
        <f t="shared" si="457"/>
        <v>140</v>
      </c>
      <c r="F1135" s="3" t="str">
        <f t="shared" si="470"/>
        <v>100</v>
      </c>
      <c r="G1135" s="3" t="str">
        <f t="shared" si="472"/>
        <v>一级</v>
      </c>
    </row>
    <row r="1136" customHeight="1" spans="1:7">
      <c r="A1136" s="3" t="str">
        <f>"3535"</f>
        <v>3535</v>
      </c>
      <c r="B1136" s="3" t="s">
        <v>815</v>
      </c>
      <c r="C1136" s="3" t="str">
        <f t="shared" si="473"/>
        <v>黑石铺街道</v>
      </c>
      <c r="D1136" s="3" t="str">
        <f t="shared" si="474"/>
        <v>铭安社区</v>
      </c>
      <c r="E1136" s="3" t="str">
        <f t="shared" si="457"/>
        <v>140</v>
      </c>
      <c r="F1136" s="3" t="str">
        <f t="shared" si="470"/>
        <v>100</v>
      </c>
      <c r="G1136" s="3" t="str">
        <f t="shared" si="472"/>
        <v>一级</v>
      </c>
    </row>
    <row r="1137" customHeight="1" spans="1:7">
      <c r="A1137" s="3" t="str">
        <f>"3536"</f>
        <v>3536</v>
      </c>
      <c r="B1137" s="3" t="s">
        <v>311</v>
      </c>
      <c r="C1137" s="3" t="str">
        <f t="shared" si="473"/>
        <v>黑石铺街道</v>
      </c>
      <c r="D1137" s="3" t="str">
        <f t="shared" si="474"/>
        <v>铭安社区</v>
      </c>
      <c r="E1137" s="3" t="str">
        <f t="shared" si="457"/>
        <v>140</v>
      </c>
      <c r="F1137" s="3" t="str">
        <f t="shared" si="470"/>
        <v>100</v>
      </c>
      <c r="G1137" s="3" t="str">
        <f t="shared" ref="G1137:G1143" si="476">"二级"</f>
        <v>二级</v>
      </c>
    </row>
    <row r="1138" customHeight="1" spans="1:7">
      <c r="A1138" s="3" t="str">
        <f>"3537"</f>
        <v>3537</v>
      </c>
      <c r="B1138" s="3" t="s">
        <v>595</v>
      </c>
      <c r="C1138" s="3" t="str">
        <f t="shared" si="473"/>
        <v>黑石铺街道</v>
      </c>
      <c r="D1138" s="3" t="str">
        <f t="shared" si="474"/>
        <v>铭安社区</v>
      </c>
      <c r="E1138" s="3" t="str">
        <f t="shared" si="457"/>
        <v>140</v>
      </c>
      <c r="F1138" s="3" t="str">
        <f t="shared" si="470"/>
        <v>100</v>
      </c>
      <c r="G1138" s="3" t="str">
        <f t="shared" si="476"/>
        <v>二级</v>
      </c>
    </row>
    <row r="1139" customHeight="1" spans="1:7">
      <c r="A1139" s="3" t="str">
        <f>"3538"</f>
        <v>3538</v>
      </c>
      <c r="B1139" s="3" t="s">
        <v>1869</v>
      </c>
      <c r="C1139" s="3" t="str">
        <f t="shared" si="473"/>
        <v>黑石铺街道</v>
      </c>
      <c r="D1139" s="3" t="str">
        <f t="shared" si="474"/>
        <v>铭安社区</v>
      </c>
      <c r="E1139" s="3" t="str">
        <f t="shared" si="457"/>
        <v>140</v>
      </c>
      <c r="F1139" s="3" t="str">
        <f t="shared" si="470"/>
        <v>100</v>
      </c>
      <c r="G1139" s="3" t="str">
        <f t="shared" si="476"/>
        <v>二级</v>
      </c>
    </row>
    <row r="1140" customHeight="1" spans="1:7">
      <c r="A1140" s="3" t="str">
        <f>"3539"</f>
        <v>3539</v>
      </c>
      <c r="B1140" s="3" t="s">
        <v>2336</v>
      </c>
      <c r="C1140" s="3" t="str">
        <f t="shared" si="473"/>
        <v>黑石铺街道</v>
      </c>
      <c r="D1140" s="3" t="str">
        <f t="shared" si="474"/>
        <v>铭安社区</v>
      </c>
      <c r="E1140" s="3" t="str">
        <f t="shared" si="457"/>
        <v>140</v>
      </c>
      <c r="F1140" s="3" t="str">
        <f t="shared" si="470"/>
        <v>100</v>
      </c>
      <c r="G1140" s="3" t="str">
        <f t="shared" si="476"/>
        <v>二级</v>
      </c>
    </row>
    <row r="1141" customHeight="1" spans="1:7">
      <c r="A1141" s="3" t="str">
        <f>"3540"</f>
        <v>3540</v>
      </c>
      <c r="B1141" s="3" t="s">
        <v>747</v>
      </c>
      <c r="C1141" s="3" t="str">
        <f t="shared" si="473"/>
        <v>黑石铺街道</v>
      </c>
      <c r="D1141" s="3" t="str">
        <f t="shared" si="474"/>
        <v>铭安社区</v>
      </c>
      <c r="E1141" s="3" t="str">
        <f t="shared" si="457"/>
        <v>140</v>
      </c>
      <c r="F1141" s="3" t="str">
        <f t="shared" si="470"/>
        <v>100</v>
      </c>
      <c r="G1141" s="3" t="str">
        <f t="shared" si="476"/>
        <v>二级</v>
      </c>
    </row>
    <row r="1142" customHeight="1" spans="1:7">
      <c r="A1142" s="3" t="str">
        <f>"3541"</f>
        <v>3541</v>
      </c>
      <c r="B1142" s="3" t="s">
        <v>2337</v>
      </c>
      <c r="C1142" s="3" t="str">
        <f t="shared" si="473"/>
        <v>黑石铺街道</v>
      </c>
      <c r="D1142" s="3" t="str">
        <f t="shared" si="474"/>
        <v>铭安社区</v>
      </c>
      <c r="E1142" s="3" t="str">
        <f t="shared" si="457"/>
        <v>140</v>
      </c>
      <c r="F1142" s="3" t="str">
        <f t="shared" si="470"/>
        <v>100</v>
      </c>
      <c r="G1142" s="3" t="str">
        <f t="shared" si="476"/>
        <v>二级</v>
      </c>
    </row>
    <row r="1143" customHeight="1" spans="1:7">
      <c r="A1143" s="3" t="str">
        <f>"3542"</f>
        <v>3542</v>
      </c>
      <c r="B1143" s="3" t="s">
        <v>2338</v>
      </c>
      <c r="C1143" s="3" t="str">
        <f t="shared" si="473"/>
        <v>黑石铺街道</v>
      </c>
      <c r="D1143" s="3" t="str">
        <f t="shared" si="474"/>
        <v>铭安社区</v>
      </c>
      <c r="E1143" s="3" t="str">
        <f t="shared" si="457"/>
        <v>140</v>
      </c>
      <c r="F1143" s="3" t="str">
        <f t="shared" si="470"/>
        <v>100</v>
      </c>
      <c r="G1143" s="3" t="str">
        <f t="shared" si="476"/>
        <v>二级</v>
      </c>
    </row>
    <row r="1144" customHeight="1" spans="1:7">
      <c r="A1144" s="3" t="str">
        <f>"3543"</f>
        <v>3543</v>
      </c>
      <c r="B1144" s="3" t="s">
        <v>1815</v>
      </c>
      <c r="C1144" s="3" t="str">
        <f>"裕南街街道"</f>
        <v>裕南街街道</v>
      </c>
      <c r="D1144" s="3" t="str">
        <f>"宝塔山社区"</f>
        <v>宝塔山社区</v>
      </c>
      <c r="E1144" s="3" t="str">
        <f t="shared" si="457"/>
        <v>140</v>
      </c>
      <c r="F1144" s="3" t="str">
        <f>"0"</f>
        <v>0</v>
      </c>
      <c r="G1144" s="3" t="str">
        <f>"四级"</f>
        <v>四级</v>
      </c>
    </row>
    <row r="1145" customHeight="1" spans="1:7">
      <c r="A1145" s="3" t="str">
        <f>"3544"</f>
        <v>3544</v>
      </c>
      <c r="B1145" s="3" t="s">
        <v>68</v>
      </c>
      <c r="C1145" s="3" t="str">
        <f>"新开铺街道"</f>
        <v>新开铺街道</v>
      </c>
      <c r="D1145" s="3" t="str">
        <f>"豹子岭社区"</f>
        <v>豹子岭社区</v>
      </c>
      <c r="E1145" s="3" t="str">
        <f t="shared" si="457"/>
        <v>140</v>
      </c>
      <c r="F1145" s="3" t="str">
        <f t="shared" ref="F1145:F1151" si="477">"100"</f>
        <v>100</v>
      </c>
      <c r="G1145" s="3" t="str">
        <f t="shared" ref="G1145:G1150" si="478">"二级"</f>
        <v>二级</v>
      </c>
    </row>
    <row r="1146" customHeight="1" spans="1:7">
      <c r="A1146" s="3" t="str">
        <f>"3545"</f>
        <v>3545</v>
      </c>
      <c r="B1146" s="3" t="s">
        <v>209</v>
      </c>
      <c r="C1146" s="3" t="str">
        <f>"赤岭路街道"</f>
        <v>赤岭路街道</v>
      </c>
      <c r="D1146" s="3" t="str">
        <f>"白沙花园社区"</f>
        <v>白沙花园社区</v>
      </c>
      <c r="E1146" s="3" t="str">
        <f t="shared" si="457"/>
        <v>140</v>
      </c>
      <c r="F1146" s="3" t="str">
        <f>"0"</f>
        <v>0</v>
      </c>
      <c r="G1146" s="3" t="str">
        <f>"三级"</f>
        <v>三级</v>
      </c>
    </row>
    <row r="1147" customHeight="1" spans="1:7">
      <c r="A1147" s="3" t="str">
        <f>"3546"</f>
        <v>3546</v>
      </c>
      <c r="B1147" s="3" t="s">
        <v>2339</v>
      </c>
      <c r="C1147" s="3" t="str">
        <f>"大托铺街道"</f>
        <v>大托铺街道</v>
      </c>
      <c r="D1147" s="3" t="str">
        <f>"桂井村委会"</f>
        <v>桂井村委会</v>
      </c>
      <c r="E1147" s="3" t="str">
        <f t="shared" si="457"/>
        <v>140</v>
      </c>
      <c r="F1147" s="3" t="str">
        <f t="shared" si="477"/>
        <v>100</v>
      </c>
      <c r="G1147" s="3" t="str">
        <f t="shared" si="478"/>
        <v>二级</v>
      </c>
    </row>
    <row r="1148" customHeight="1" spans="1:7">
      <c r="A1148" s="3" t="str">
        <f>"3547"</f>
        <v>3547</v>
      </c>
      <c r="B1148" s="3" t="s">
        <v>2340</v>
      </c>
      <c r="C1148" s="3" t="str">
        <f>"坡子街街道"</f>
        <v>坡子街街道</v>
      </c>
      <c r="D1148" s="3" t="str">
        <f>"坡子街社区"</f>
        <v>坡子街社区</v>
      </c>
      <c r="E1148" s="3" t="str">
        <f t="shared" si="457"/>
        <v>140</v>
      </c>
      <c r="F1148" s="3" t="str">
        <f t="shared" si="477"/>
        <v>100</v>
      </c>
      <c r="G1148" s="3" t="str">
        <f t="shared" si="478"/>
        <v>二级</v>
      </c>
    </row>
    <row r="1149" customHeight="1" spans="1:7">
      <c r="A1149" s="3" t="str">
        <f>"3548"</f>
        <v>3548</v>
      </c>
      <c r="B1149" s="3" t="s">
        <v>2341</v>
      </c>
      <c r="C1149" s="3" t="str">
        <f t="shared" ref="C1149:C1152" si="479">"裕南街街道"</f>
        <v>裕南街街道</v>
      </c>
      <c r="D1149" s="3" t="str">
        <f>"东瓜山社区"</f>
        <v>东瓜山社区</v>
      </c>
      <c r="E1149" s="3" t="str">
        <f t="shared" si="457"/>
        <v>140</v>
      </c>
      <c r="F1149" s="3" t="str">
        <f t="shared" si="477"/>
        <v>100</v>
      </c>
      <c r="G1149" s="3" t="str">
        <f t="shared" si="478"/>
        <v>二级</v>
      </c>
    </row>
    <row r="1150" customHeight="1" spans="1:7">
      <c r="A1150" s="3" t="str">
        <f>"3549"</f>
        <v>3549</v>
      </c>
      <c r="B1150" s="3" t="s">
        <v>2342</v>
      </c>
      <c r="C1150" s="3" t="str">
        <f t="shared" si="479"/>
        <v>裕南街街道</v>
      </c>
      <c r="D1150" s="3" t="str">
        <f>"东瓜山社区"</f>
        <v>东瓜山社区</v>
      </c>
      <c r="E1150" s="3" t="str">
        <f t="shared" si="457"/>
        <v>140</v>
      </c>
      <c r="F1150" s="3" t="str">
        <f t="shared" si="477"/>
        <v>100</v>
      </c>
      <c r="G1150" s="3" t="str">
        <f t="shared" si="478"/>
        <v>二级</v>
      </c>
    </row>
    <row r="1151" customHeight="1" spans="1:7">
      <c r="A1151" s="3" t="str">
        <f>"3550"</f>
        <v>3550</v>
      </c>
      <c r="B1151" s="3" t="s">
        <v>1775</v>
      </c>
      <c r="C1151" s="3" t="str">
        <f>"城南路街道"</f>
        <v>城南路街道</v>
      </c>
      <c r="D1151" s="3" t="str">
        <f>"工农桥社区"</f>
        <v>工农桥社区</v>
      </c>
      <c r="E1151" s="3" t="str">
        <f t="shared" si="457"/>
        <v>140</v>
      </c>
      <c r="F1151" s="3" t="str">
        <f t="shared" si="477"/>
        <v>100</v>
      </c>
      <c r="G1151" s="3" t="str">
        <f>"一级"</f>
        <v>一级</v>
      </c>
    </row>
    <row r="1152" customHeight="1" spans="1:7">
      <c r="A1152" s="3" t="str">
        <f>"3551"</f>
        <v>3551</v>
      </c>
      <c r="B1152" s="3" t="s">
        <v>1007</v>
      </c>
      <c r="C1152" s="3" t="str">
        <f t="shared" si="479"/>
        <v>裕南街街道</v>
      </c>
      <c r="D1152" s="3" t="str">
        <f>"杏花园社区"</f>
        <v>杏花园社区</v>
      </c>
      <c r="E1152" s="3" t="str">
        <f t="shared" si="457"/>
        <v>140</v>
      </c>
      <c r="F1152" s="3" t="str">
        <f>"0"</f>
        <v>0</v>
      </c>
      <c r="G1152" s="3" t="str">
        <f>"三级"</f>
        <v>三级</v>
      </c>
    </row>
    <row r="1153" customHeight="1" spans="1:7">
      <c r="A1153" s="3" t="str">
        <f>"3552"</f>
        <v>3552</v>
      </c>
      <c r="B1153" s="3" t="s">
        <v>2343</v>
      </c>
      <c r="C1153" s="3" t="str">
        <f>"新开铺街道"</f>
        <v>新开铺街道</v>
      </c>
      <c r="D1153" s="3" t="str">
        <f>"新开铺社区"</f>
        <v>新开铺社区</v>
      </c>
      <c r="E1153" s="3" t="str">
        <f t="shared" si="457"/>
        <v>140</v>
      </c>
      <c r="F1153" s="3" t="str">
        <f t="shared" ref="F1153:F1168" si="480">"100"</f>
        <v>100</v>
      </c>
      <c r="G1153" s="3" t="str">
        <f t="shared" ref="G1153:G1157" si="481">"二级"</f>
        <v>二级</v>
      </c>
    </row>
    <row r="1154" customHeight="1" spans="1:7">
      <c r="A1154" s="3" t="str">
        <f>"3553"</f>
        <v>3553</v>
      </c>
      <c r="B1154" s="3" t="s">
        <v>2344</v>
      </c>
      <c r="C1154" s="3" t="str">
        <f>"暮云街道"</f>
        <v>暮云街道</v>
      </c>
      <c r="D1154" s="3" t="str">
        <f>"卢浮社区"</f>
        <v>卢浮社区</v>
      </c>
      <c r="E1154" s="3" t="str">
        <f t="shared" ref="E1154:E1201" si="482">"140"</f>
        <v>140</v>
      </c>
      <c r="F1154" s="3" t="str">
        <f t="shared" si="480"/>
        <v>100</v>
      </c>
      <c r="G1154" s="3" t="str">
        <f t="shared" ref="G1154:G1159" si="483">"一级"</f>
        <v>一级</v>
      </c>
    </row>
    <row r="1155" customHeight="1" spans="1:7">
      <c r="A1155" s="3" t="str">
        <f>"3554"</f>
        <v>3554</v>
      </c>
      <c r="B1155" s="3" t="s">
        <v>287</v>
      </c>
      <c r="C1155" s="3" t="str">
        <f>"南托街道"</f>
        <v>南托街道</v>
      </c>
      <c r="D1155" s="3" t="str">
        <f>"沿江村"</f>
        <v>沿江村</v>
      </c>
      <c r="E1155" s="3" t="str">
        <f t="shared" si="482"/>
        <v>140</v>
      </c>
      <c r="F1155" s="3" t="str">
        <f t="shared" si="480"/>
        <v>100</v>
      </c>
      <c r="G1155" s="3" t="str">
        <f t="shared" si="481"/>
        <v>二级</v>
      </c>
    </row>
    <row r="1156" customHeight="1" spans="1:7">
      <c r="A1156" s="3" t="str">
        <f>"3555"</f>
        <v>3555</v>
      </c>
      <c r="B1156" s="3" t="s">
        <v>2345</v>
      </c>
      <c r="C1156" s="3" t="str">
        <f>"坡子街街道"</f>
        <v>坡子街街道</v>
      </c>
      <c r="D1156" s="3" t="str">
        <f>"碧湘社区"</f>
        <v>碧湘社区</v>
      </c>
      <c r="E1156" s="3" t="str">
        <f t="shared" si="482"/>
        <v>140</v>
      </c>
      <c r="F1156" s="3" t="str">
        <f t="shared" si="480"/>
        <v>100</v>
      </c>
      <c r="G1156" s="3" t="str">
        <f t="shared" si="481"/>
        <v>二级</v>
      </c>
    </row>
    <row r="1157" customHeight="1" spans="1:7">
      <c r="A1157" s="3" t="str">
        <f>"3556"</f>
        <v>3556</v>
      </c>
      <c r="B1157" s="3" t="s">
        <v>2346</v>
      </c>
      <c r="C1157" s="3" t="str">
        <f>"新开铺街道"</f>
        <v>新开铺街道</v>
      </c>
      <c r="D1157" s="3" t="str">
        <f>"新天社区"</f>
        <v>新天社区</v>
      </c>
      <c r="E1157" s="3" t="str">
        <f t="shared" si="482"/>
        <v>140</v>
      </c>
      <c r="F1157" s="3" t="str">
        <f t="shared" si="480"/>
        <v>100</v>
      </c>
      <c r="G1157" s="3" t="str">
        <f t="shared" si="481"/>
        <v>二级</v>
      </c>
    </row>
    <row r="1158" customHeight="1" spans="1:7">
      <c r="A1158" s="3" t="str">
        <f>"3557"</f>
        <v>3557</v>
      </c>
      <c r="B1158" s="3" t="s">
        <v>70</v>
      </c>
      <c r="C1158" s="3" t="str">
        <f>"城南路街道"</f>
        <v>城南路街道</v>
      </c>
      <c r="D1158" s="3" t="str">
        <f>"燕子岭社区"</f>
        <v>燕子岭社区</v>
      </c>
      <c r="E1158" s="3" t="str">
        <f t="shared" si="482"/>
        <v>140</v>
      </c>
      <c r="F1158" s="3" t="str">
        <f t="shared" si="480"/>
        <v>100</v>
      </c>
      <c r="G1158" s="3" t="str">
        <f t="shared" si="483"/>
        <v>一级</v>
      </c>
    </row>
    <row r="1159" customHeight="1" spans="1:7">
      <c r="A1159" s="3" t="str">
        <f>"3558"</f>
        <v>3558</v>
      </c>
      <c r="B1159" s="3" t="s">
        <v>2347</v>
      </c>
      <c r="C1159" s="3" t="str">
        <f>"裕南街街道"</f>
        <v>裕南街街道</v>
      </c>
      <c r="D1159" s="3" t="str">
        <f>"仰天湖社区"</f>
        <v>仰天湖社区</v>
      </c>
      <c r="E1159" s="3" t="str">
        <f t="shared" si="482"/>
        <v>140</v>
      </c>
      <c r="F1159" s="3" t="str">
        <f t="shared" si="480"/>
        <v>100</v>
      </c>
      <c r="G1159" s="3" t="str">
        <f t="shared" si="483"/>
        <v>一级</v>
      </c>
    </row>
    <row r="1160" customHeight="1" spans="1:7">
      <c r="A1160" s="3" t="str">
        <f>"3559"</f>
        <v>3559</v>
      </c>
      <c r="B1160" s="3" t="s">
        <v>80</v>
      </c>
      <c r="C1160" s="3" t="str">
        <f t="shared" ref="C1160:C1162" si="484">"青园街道"</f>
        <v>青园街道</v>
      </c>
      <c r="D1160" s="3" t="str">
        <f t="shared" ref="D1160:D1162" si="485">"井湾子社区"</f>
        <v>井湾子社区</v>
      </c>
      <c r="E1160" s="3" t="str">
        <f t="shared" si="482"/>
        <v>140</v>
      </c>
      <c r="F1160" s="3" t="str">
        <f t="shared" si="480"/>
        <v>100</v>
      </c>
      <c r="G1160" s="3" t="str">
        <f t="shared" ref="G1160:G1165" si="486">"二级"</f>
        <v>二级</v>
      </c>
    </row>
    <row r="1161" customHeight="1" spans="1:7">
      <c r="A1161" s="3" t="str">
        <f>"3560"</f>
        <v>3560</v>
      </c>
      <c r="B1161" s="3" t="s">
        <v>2348</v>
      </c>
      <c r="C1161" s="3" t="str">
        <f t="shared" si="484"/>
        <v>青园街道</v>
      </c>
      <c r="D1161" s="3" t="str">
        <f t="shared" si="485"/>
        <v>井湾子社区</v>
      </c>
      <c r="E1161" s="3" t="str">
        <f t="shared" si="482"/>
        <v>140</v>
      </c>
      <c r="F1161" s="3" t="str">
        <f t="shared" si="480"/>
        <v>100</v>
      </c>
      <c r="G1161" s="3" t="str">
        <f t="shared" ref="G1161:G1167" si="487">"一级"</f>
        <v>一级</v>
      </c>
    </row>
    <row r="1162" customHeight="1" spans="1:7">
      <c r="A1162" s="3" t="str">
        <f>"3561"</f>
        <v>3561</v>
      </c>
      <c r="B1162" s="3" t="s">
        <v>2349</v>
      </c>
      <c r="C1162" s="3" t="str">
        <f t="shared" si="484"/>
        <v>青园街道</v>
      </c>
      <c r="D1162" s="3" t="str">
        <f t="shared" si="485"/>
        <v>井湾子社区</v>
      </c>
      <c r="E1162" s="3" t="str">
        <f t="shared" si="482"/>
        <v>140</v>
      </c>
      <c r="F1162" s="3" t="str">
        <f t="shared" si="480"/>
        <v>100</v>
      </c>
      <c r="G1162" s="3" t="str">
        <f t="shared" si="487"/>
        <v>一级</v>
      </c>
    </row>
    <row r="1163" customHeight="1" spans="1:7">
      <c r="A1163" s="3" t="str">
        <f>"3562"</f>
        <v>3562</v>
      </c>
      <c r="B1163" s="3" t="s">
        <v>2350</v>
      </c>
      <c r="C1163" s="3" t="str">
        <f>"文源街道"</f>
        <v>文源街道</v>
      </c>
      <c r="D1163" s="3" t="str">
        <f>"金汇社区"</f>
        <v>金汇社区</v>
      </c>
      <c r="E1163" s="3" t="str">
        <f t="shared" si="482"/>
        <v>140</v>
      </c>
      <c r="F1163" s="3" t="str">
        <f t="shared" si="480"/>
        <v>100</v>
      </c>
      <c r="G1163" s="3" t="str">
        <f t="shared" si="486"/>
        <v>二级</v>
      </c>
    </row>
    <row r="1164" customHeight="1" spans="1:7">
      <c r="A1164" s="3" t="str">
        <f>"3563"</f>
        <v>3563</v>
      </c>
      <c r="B1164" s="3" t="s">
        <v>2351</v>
      </c>
      <c r="C1164" s="3" t="str">
        <f t="shared" ref="C1164:C1169" si="488">"裕南街街道"</f>
        <v>裕南街街道</v>
      </c>
      <c r="D1164" s="3" t="str">
        <f>"东瓜山社区"</f>
        <v>东瓜山社区</v>
      </c>
      <c r="E1164" s="3" t="str">
        <f t="shared" si="482"/>
        <v>140</v>
      </c>
      <c r="F1164" s="3" t="str">
        <f t="shared" si="480"/>
        <v>100</v>
      </c>
      <c r="G1164" s="3" t="str">
        <f t="shared" si="486"/>
        <v>二级</v>
      </c>
    </row>
    <row r="1165" customHeight="1" spans="1:7">
      <c r="A1165" s="3" t="str">
        <f>"3564"</f>
        <v>3564</v>
      </c>
      <c r="B1165" s="3" t="s">
        <v>2352</v>
      </c>
      <c r="C1165" s="3" t="str">
        <f>"赤岭路街道"</f>
        <v>赤岭路街道</v>
      </c>
      <c r="D1165" s="3" t="str">
        <f>"猴子石社区"</f>
        <v>猴子石社区</v>
      </c>
      <c r="E1165" s="3" t="str">
        <f t="shared" si="482"/>
        <v>140</v>
      </c>
      <c r="F1165" s="3" t="str">
        <f t="shared" si="480"/>
        <v>100</v>
      </c>
      <c r="G1165" s="3" t="str">
        <f t="shared" si="486"/>
        <v>二级</v>
      </c>
    </row>
    <row r="1166" customHeight="1" spans="1:7">
      <c r="A1166" s="3" t="str">
        <f>"3565"</f>
        <v>3565</v>
      </c>
      <c r="B1166" s="3" t="s">
        <v>267</v>
      </c>
      <c r="C1166" s="3" t="str">
        <f>"文源街道"</f>
        <v>文源街道</v>
      </c>
      <c r="D1166" s="3" t="str">
        <f>"文源社区"</f>
        <v>文源社区</v>
      </c>
      <c r="E1166" s="3" t="str">
        <f t="shared" si="482"/>
        <v>140</v>
      </c>
      <c r="F1166" s="3" t="str">
        <f t="shared" si="480"/>
        <v>100</v>
      </c>
      <c r="G1166" s="3" t="str">
        <f t="shared" si="487"/>
        <v>一级</v>
      </c>
    </row>
    <row r="1167" customHeight="1" spans="1:7">
      <c r="A1167" s="3" t="str">
        <f>"3566"</f>
        <v>3566</v>
      </c>
      <c r="B1167" s="3" t="s">
        <v>68</v>
      </c>
      <c r="C1167" s="3" t="str">
        <f>"赤岭路街道"</f>
        <v>赤岭路街道</v>
      </c>
      <c r="D1167" s="3" t="str">
        <f>"广厦新村社区"</f>
        <v>广厦新村社区</v>
      </c>
      <c r="E1167" s="3" t="str">
        <f t="shared" si="482"/>
        <v>140</v>
      </c>
      <c r="F1167" s="3" t="str">
        <f t="shared" si="480"/>
        <v>100</v>
      </c>
      <c r="G1167" s="3" t="str">
        <f t="shared" si="487"/>
        <v>一级</v>
      </c>
    </row>
    <row r="1168" customHeight="1" spans="1:7">
      <c r="A1168" s="3" t="str">
        <f>"3567"</f>
        <v>3567</v>
      </c>
      <c r="B1168" s="3" t="s">
        <v>267</v>
      </c>
      <c r="C1168" s="3" t="str">
        <f t="shared" si="488"/>
        <v>裕南街街道</v>
      </c>
      <c r="D1168" s="3" t="str">
        <f>"向东南社区"</f>
        <v>向东南社区</v>
      </c>
      <c r="E1168" s="3" t="str">
        <f t="shared" si="482"/>
        <v>140</v>
      </c>
      <c r="F1168" s="3" t="str">
        <f t="shared" si="480"/>
        <v>100</v>
      </c>
      <c r="G1168" s="3" t="str">
        <f t="shared" ref="G1168:G1172" si="489">"二级"</f>
        <v>二级</v>
      </c>
    </row>
    <row r="1169" customHeight="1" spans="1:7">
      <c r="A1169" s="3" t="str">
        <f>"3568"</f>
        <v>3568</v>
      </c>
      <c r="B1169" s="3" t="s">
        <v>2353</v>
      </c>
      <c r="C1169" s="3" t="str">
        <f t="shared" si="488"/>
        <v>裕南街街道</v>
      </c>
      <c r="D1169" s="3" t="str">
        <f>"东瓜山社区"</f>
        <v>东瓜山社区</v>
      </c>
      <c r="E1169" s="3" t="str">
        <f t="shared" si="482"/>
        <v>140</v>
      </c>
      <c r="F1169" s="3" t="str">
        <f>"0"</f>
        <v>0</v>
      </c>
      <c r="G1169" s="3" t="str">
        <f>"四级"</f>
        <v>四级</v>
      </c>
    </row>
    <row r="1170" customHeight="1" spans="1:7">
      <c r="A1170" s="3" t="str">
        <f>"3569"</f>
        <v>3569</v>
      </c>
      <c r="B1170" s="3" t="s">
        <v>2354</v>
      </c>
      <c r="C1170" s="3" t="str">
        <f>"南托街道"</f>
        <v>南托街道</v>
      </c>
      <c r="D1170" s="3" t="str">
        <f>"南托岭社区"</f>
        <v>南托岭社区</v>
      </c>
      <c r="E1170" s="3" t="str">
        <f t="shared" si="482"/>
        <v>140</v>
      </c>
      <c r="F1170" s="3" t="str">
        <f t="shared" ref="F1170:F1176" si="490">"100"</f>
        <v>100</v>
      </c>
      <c r="G1170" s="3" t="str">
        <f t="shared" si="489"/>
        <v>二级</v>
      </c>
    </row>
    <row r="1171" customHeight="1" spans="1:7">
      <c r="A1171" s="3" t="str">
        <f>"3570"</f>
        <v>3570</v>
      </c>
      <c r="B1171" s="3" t="s">
        <v>693</v>
      </c>
      <c r="C1171" s="3" t="str">
        <f t="shared" ref="C1171:C1175" si="491">"坡子街街道"</f>
        <v>坡子街街道</v>
      </c>
      <c r="D1171" s="3" t="str">
        <f>"文庙坪社区"</f>
        <v>文庙坪社区</v>
      </c>
      <c r="E1171" s="3" t="str">
        <f t="shared" si="482"/>
        <v>140</v>
      </c>
      <c r="F1171" s="3" t="str">
        <f t="shared" si="490"/>
        <v>100</v>
      </c>
      <c r="G1171" s="3" t="str">
        <f t="shared" si="489"/>
        <v>二级</v>
      </c>
    </row>
    <row r="1172" customHeight="1" spans="1:7">
      <c r="A1172" s="3" t="str">
        <f>"3571"</f>
        <v>3571</v>
      </c>
      <c r="B1172" s="3" t="s">
        <v>872</v>
      </c>
      <c r="C1172" s="3" t="str">
        <f t="shared" si="491"/>
        <v>坡子街街道</v>
      </c>
      <c r="D1172" s="3" t="str">
        <f>"文庙坪社区"</f>
        <v>文庙坪社区</v>
      </c>
      <c r="E1172" s="3" t="str">
        <f t="shared" si="482"/>
        <v>140</v>
      </c>
      <c r="F1172" s="3" t="str">
        <f t="shared" si="490"/>
        <v>100</v>
      </c>
      <c r="G1172" s="3" t="str">
        <f t="shared" si="489"/>
        <v>二级</v>
      </c>
    </row>
    <row r="1173" customHeight="1" spans="1:7">
      <c r="A1173" s="3" t="str">
        <f>"3572"</f>
        <v>3572</v>
      </c>
      <c r="B1173" s="3" t="s">
        <v>2355</v>
      </c>
      <c r="C1173" s="3" t="str">
        <f>"暮云街道"</f>
        <v>暮云街道</v>
      </c>
      <c r="D1173" s="3" t="str">
        <f>"丽发社区"</f>
        <v>丽发社区</v>
      </c>
      <c r="E1173" s="3" t="str">
        <f t="shared" si="482"/>
        <v>140</v>
      </c>
      <c r="F1173" s="3" t="str">
        <f t="shared" si="490"/>
        <v>100</v>
      </c>
      <c r="G1173" s="3" t="str">
        <f>"一级"</f>
        <v>一级</v>
      </c>
    </row>
    <row r="1174" customHeight="1" spans="1:7">
      <c r="A1174" s="3" t="str">
        <f>"3573"</f>
        <v>3573</v>
      </c>
      <c r="B1174" s="3" t="s">
        <v>2356</v>
      </c>
      <c r="C1174" s="3" t="str">
        <f>"暮云街道"</f>
        <v>暮云街道</v>
      </c>
      <c r="D1174" s="3" t="str">
        <f>"怡海社区"</f>
        <v>怡海社区</v>
      </c>
      <c r="E1174" s="3" t="str">
        <f t="shared" si="482"/>
        <v>140</v>
      </c>
      <c r="F1174" s="3" t="str">
        <f t="shared" si="490"/>
        <v>100</v>
      </c>
      <c r="G1174" s="3" t="str">
        <f t="shared" ref="G1174:G1176" si="492">"二级"</f>
        <v>二级</v>
      </c>
    </row>
    <row r="1175" customHeight="1" spans="1:7">
      <c r="A1175" s="3" t="str">
        <f>"3574"</f>
        <v>3574</v>
      </c>
      <c r="B1175" s="3" t="s">
        <v>1165</v>
      </c>
      <c r="C1175" s="3" t="str">
        <f t="shared" si="491"/>
        <v>坡子街街道</v>
      </c>
      <c r="D1175" s="3" t="str">
        <f>"西湖社区"</f>
        <v>西湖社区</v>
      </c>
      <c r="E1175" s="3" t="str">
        <f t="shared" si="482"/>
        <v>140</v>
      </c>
      <c r="F1175" s="3" t="str">
        <f t="shared" si="490"/>
        <v>100</v>
      </c>
      <c r="G1175" s="3" t="str">
        <f t="shared" si="492"/>
        <v>二级</v>
      </c>
    </row>
    <row r="1176" customHeight="1" spans="1:7">
      <c r="A1176" s="3" t="str">
        <f>"3575"</f>
        <v>3575</v>
      </c>
      <c r="B1176" s="3" t="s">
        <v>2357</v>
      </c>
      <c r="C1176" s="3" t="str">
        <f>"城南路街道"</f>
        <v>城南路街道</v>
      </c>
      <c r="D1176" s="3" t="str">
        <f>"白沙井社区"</f>
        <v>白沙井社区</v>
      </c>
      <c r="E1176" s="3" t="str">
        <f t="shared" si="482"/>
        <v>140</v>
      </c>
      <c r="F1176" s="3" t="str">
        <f t="shared" si="490"/>
        <v>100</v>
      </c>
      <c r="G1176" s="3" t="str">
        <f t="shared" si="492"/>
        <v>二级</v>
      </c>
    </row>
    <row r="1177" customHeight="1" spans="1:7">
      <c r="A1177" s="3" t="str">
        <f>"3576"</f>
        <v>3576</v>
      </c>
      <c r="B1177" s="3" t="s">
        <v>2358</v>
      </c>
      <c r="C1177" s="3" t="str">
        <f t="shared" ref="C1177:C1179" si="493">"南托街道"</f>
        <v>南托街道</v>
      </c>
      <c r="D1177" s="3" t="str">
        <f>"融城社区"</f>
        <v>融城社区</v>
      </c>
      <c r="E1177" s="3" t="str">
        <f t="shared" si="482"/>
        <v>140</v>
      </c>
      <c r="F1177" s="3" t="str">
        <f>"0"</f>
        <v>0</v>
      </c>
      <c r="G1177" s="3" t="str">
        <f>"三级"</f>
        <v>三级</v>
      </c>
    </row>
    <row r="1178" customHeight="1" spans="1:7">
      <c r="A1178" s="3" t="str">
        <f>"3577"</f>
        <v>3577</v>
      </c>
      <c r="B1178" s="3" t="s">
        <v>866</v>
      </c>
      <c r="C1178" s="3" t="str">
        <f t="shared" si="493"/>
        <v>南托街道</v>
      </c>
      <c r="D1178" s="3" t="str">
        <f>"融城社区"</f>
        <v>融城社区</v>
      </c>
      <c r="E1178" s="3" t="str">
        <f t="shared" si="482"/>
        <v>140</v>
      </c>
      <c r="F1178" s="3" t="str">
        <f t="shared" ref="F1178:F1190" si="494">"100"</f>
        <v>100</v>
      </c>
      <c r="G1178" s="3" t="str">
        <f t="shared" ref="G1178:G1190" si="495">"二级"</f>
        <v>二级</v>
      </c>
    </row>
    <row r="1179" customHeight="1" spans="1:7">
      <c r="A1179" s="3" t="str">
        <f>"3578"</f>
        <v>3578</v>
      </c>
      <c r="B1179" s="3" t="s">
        <v>2359</v>
      </c>
      <c r="C1179" s="3" t="str">
        <f t="shared" si="493"/>
        <v>南托街道</v>
      </c>
      <c r="D1179" s="3" t="str">
        <f>"牛角塘村"</f>
        <v>牛角塘村</v>
      </c>
      <c r="E1179" s="3" t="str">
        <f t="shared" si="482"/>
        <v>140</v>
      </c>
      <c r="F1179" s="3" t="str">
        <f t="shared" si="494"/>
        <v>100</v>
      </c>
      <c r="G1179" s="3" t="str">
        <f>"一级"</f>
        <v>一级</v>
      </c>
    </row>
    <row r="1180" customHeight="1" spans="1:7">
      <c r="A1180" s="3" t="str">
        <f>"3579"</f>
        <v>3579</v>
      </c>
      <c r="B1180" s="3" t="s">
        <v>2360</v>
      </c>
      <c r="C1180" s="3" t="str">
        <f>"桂花坪街道"</f>
        <v>桂花坪街道</v>
      </c>
      <c r="D1180" s="3" t="str">
        <f>"九峰苑社区"</f>
        <v>九峰苑社区</v>
      </c>
      <c r="E1180" s="3" t="str">
        <f t="shared" si="482"/>
        <v>140</v>
      </c>
      <c r="F1180" s="3" t="str">
        <f t="shared" si="494"/>
        <v>100</v>
      </c>
      <c r="G1180" s="3" t="str">
        <f t="shared" si="495"/>
        <v>二级</v>
      </c>
    </row>
    <row r="1181" customHeight="1" spans="1:7">
      <c r="A1181" s="3" t="str">
        <f>"3580"</f>
        <v>3580</v>
      </c>
      <c r="B1181" s="3" t="s">
        <v>2361</v>
      </c>
      <c r="C1181" s="3" t="str">
        <f>"赤岭路街道"</f>
        <v>赤岭路街道</v>
      </c>
      <c r="D1181" s="3" t="str">
        <f>"猴子石社区"</f>
        <v>猴子石社区</v>
      </c>
      <c r="E1181" s="3" t="str">
        <f t="shared" si="482"/>
        <v>140</v>
      </c>
      <c r="F1181" s="3" t="str">
        <f t="shared" si="494"/>
        <v>100</v>
      </c>
      <c r="G1181" s="3" t="str">
        <f t="shared" si="495"/>
        <v>二级</v>
      </c>
    </row>
    <row r="1182" customHeight="1" spans="1:7">
      <c r="A1182" s="3" t="str">
        <f>"3581"</f>
        <v>3581</v>
      </c>
      <c r="B1182" s="3" t="s">
        <v>267</v>
      </c>
      <c r="C1182" s="3" t="str">
        <f>"暮云街道"</f>
        <v>暮云街道</v>
      </c>
      <c r="D1182" s="3" t="str">
        <f>"高云社区"</f>
        <v>高云社区</v>
      </c>
      <c r="E1182" s="3" t="str">
        <f t="shared" si="482"/>
        <v>140</v>
      </c>
      <c r="F1182" s="3" t="str">
        <f t="shared" si="494"/>
        <v>100</v>
      </c>
      <c r="G1182" s="3" t="str">
        <f t="shared" si="495"/>
        <v>二级</v>
      </c>
    </row>
    <row r="1183" customHeight="1" spans="1:7">
      <c r="A1183" s="3" t="str">
        <f>"3582"</f>
        <v>3582</v>
      </c>
      <c r="B1183" s="3" t="s">
        <v>76</v>
      </c>
      <c r="C1183" s="3" t="str">
        <f>"金盆岭街道"</f>
        <v>金盆岭街道</v>
      </c>
      <c r="D1183" s="3" t="str">
        <f>"黄土岭社区"</f>
        <v>黄土岭社区</v>
      </c>
      <c r="E1183" s="3" t="str">
        <f t="shared" si="482"/>
        <v>140</v>
      </c>
      <c r="F1183" s="3" t="str">
        <f t="shared" si="494"/>
        <v>100</v>
      </c>
      <c r="G1183" s="3" t="str">
        <f t="shared" si="495"/>
        <v>二级</v>
      </c>
    </row>
    <row r="1184" customHeight="1" spans="1:7">
      <c r="A1184" s="3" t="str">
        <f>"3583"</f>
        <v>3583</v>
      </c>
      <c r="B1184" s="3" t="s">
        <v>70</v>
      </c>
      <c r="C1184" s="3" t="str">
        <f>"南托街道"</f>
        <v>南托街道</v>
      </c>
      <c r="D1184" s="3" t="str">
        <f>"北塘社区"</f>
        <v>北塘社区</v>
      </c>
      <c r="E1184" s="3" t="str">
        <f t="shared" si="482"/>
        <v>140</v>
      </c>
      <c r="F1184" s="3" t="str">
        <f t="shared" si="494"/>
        <v>100</v>
      </c>
      <c r="G1184" s="3" t="str">
        <f t="shared" si="495"/>
        <v>二级</v>
      </c>
    </row>
    <row r="1185" customHeight="1" spans="1:7">
      <c r="A1185" s="3" t="str">
        <f>"3584"</f>
        <v>3584</v>
      </c>
      <c r="B1185" s="3" t="s">
        <v>2362</v>
      </c>
      <c r="C1185" s="3" t="str">
        <f>"黑石铺街道"</f>
        <v>黑石铺街道</v>
      </c>
      <c r="D1185" s="3" t="str">
        <f>"铭安社区"</f>
        <v>铭安社区</v>
      </c>
      <c r="E1185" s="3" t="str">
        <f t="shared" si="482"/>
        <v>140</v>
      </c>
      <c r="F1185" s="3" t="str">
        <f t="shared" si="494"/>
        <v>100</v>
      </c>
      <c r="G1185" s="3" t="str">
        <f t="shared" si="495"/>
        <v>二级</v>
      </c>
    </row>
    <row r="1186" customHeight="1" spans="1:7">
      <c r="A1186" s="3" t="str">
        <f>"3585"</f>
        <v>3585</v>
      </c>
      <c r="B1186" s="3" t="s">
        <v>1029</v>
      </c>
      <c r="C1186" s="3" t="str">
        <f>"南托街道"</f>
        <v>南托街道</v>
      </c>
      <c r="D1186" s="3" t="str">
        <f>"北塘社区"</f>
        <v>北塘社区</v>
      </c>
      <c r="E1186" s="3" t="str">
        <f t="shared" si="482"/>
        <v>140</v>
      </c>
      <c r="F1186" s="3" t="str">
        <f t="shared" si="494"/>
        <v>100</v>
      </c>
      <c r="G1186" s="3" t="str">
        <f t="shared" si="495"/>
        <v>二级</v>
      </c>
    </row>
    <row r="1187" customHeight="1" spans="1:7">
      <c r="A1187" s="3" t="str">
        <f>"3586"</f>
        <v>3586</v>
      </c>
      <c r="B1187" s="3" t="s">
        <v>2363</v>
      </c>
      <c r="C1187" s="3" t="str">
        <f>"坡子街街道"</f>
        <v>坡子街街道</v>
      </c>
      <c r="D1187" s="3" t="str">
        <f>"文庙坪社区"</f>
        <v>文庙坪社区</v>
      </c>
      <c r="E1187" s="3" t="str">
        <f t="shared" si="482"/>
        <v>140</v>
      </c>
      <c r="F1187" s="3" t="str">
        <f t="shared" si="494"/>
        <v>100</v>
      </c>
      <c r="G1187" s="3" t="str">
        <f t="shared" si="495"/>
        <v>二级</v>
      </c>
    </row>
    <row r="1188" customHeight="1" spans="1:7">
      <c r="A1188" s="3" t="str">
        <f>"3587"</f>
        <v>3587</v>
      </c>
      <c r="B1188" s="3" t="s">
        <v>2364</v>
      </c>
      <c r="C1188" s="3" t="str">
        <f>"暮云街道"</f>
        <v>暮云街道</v>
      </c>
      <c r="D1188" s="3" t="str">
        <f>"暮云社区"</f>
        <v>暮云社区</v>
      </c>
      <c r="E1188" s="3" t="str">
        <f t="shared" si="482"/>
        <v>140</v>
      </c>
      <c r="F1188" s="3" t="str">
        <f t="shared" si="494"/>
        <v>100</v>
      </c>
      <c r="G1188" s="3" t="str">
        <f t="shared" si="495"/>
        <v>二级</v>
      </c>
    </row>
    <row r="1189" customHeight="1" spans="1:7">
      <c r="A1189" s="3" t="str">
        <f>"3588"</f>
        <v>3588</v>
      </c>
      <c r="B1189" s="3" t="s">
        <v>2365</v>
      </c>
      <c r="C1189" s="3" t="str">
        <f>"坡子街街道"</f>
        <v>坡子街街道</v>
      </c>
      <c r="D1189" s="3" t="str">
        <f>"碧湘社区"</f>
        <v>碧湘社区</v>
      </c>
      <c r="E1189" s="3" t="str">
        <f t="shared" si="482"/>
        <v>140</v>
      </c>
      <c r="F1189" s="3" t="str">
        <f t="shared" si="494"/>
        <v>100</v>
      </c>
      <c r="G1189" s="3" t="str">
        <f t="shared" si="495"/>
        <v>二级</v>
      </c>
    </row>
    <row r="1190" customHeight="1" spans="1:7">
      <c r="A1190" s="3" t="str">
        <f>"3589"</f>
        <v>3589</v>
      </c>
      <c r="B1190" s="3" t="s">
        <v>2366</v>
      </c>
      <c r="C1190" s="3" t="str">
        <f>"桂花坪街道"</f>
        <v>桂花坪街道</v>
      </c>
      <c r="D1190" s="3" t="str">
        <f>"银桂苑社区"</f>
        <v>银桂苑社区</v>
      </c>
      <c r="E1190" s="3" t="str">
        <f t="shared" si="482"/>
        <v>140</v>
      </c>
      <c r="F1190" s="3" t="str">
        <f t="shared" si="494"/>
        <v>100</v>
      </c>
      <c r="G1190" s="3" t="str">
        <f t="shared" si="495"/>
        <v>二级</v>
      </c>
    </row>
    <row r="1191" customHeight="1" spans="1:7">
      <c r="A1191" s="3" t="str">
        <f>"3590"</f>
        <v>3590</v>
      </c>
      <c r="B1191" s="3" t="s">
        <v>2367</v>
      </c>
      <c r="C1191" s="3" t="str">
        <f>"新开铺街道"</f>
        <v>新开铺街道</v>
      </c>
      <c r="D1191" s="3" t="str">
        <f>"桥头社区"</f>
        <v>桥头社区</v>
      </c>
      <c r="E1191" s="3" t="str">
        <f t="shared" si="482"/>
        <v>140</v>
      </c>
      <c r="F1191" s="3" t="str">
        <f t="shared" ref="F1191:F1195" si="496">"0"</f>
        <v>0</v>
      </c>
      <c r="G1191" s="3" t="str">
        <f t="shared" ref="G1191:G1195" si="497">"四级"</f>
        <v>四级</v>
      </c>
    </row>
    <row r="1192" customHeight="1" spans="1:7">
      <c r="A1192" s="3" t="str">
        <f>"3591"</f>
        <v>3591</v>
      </c>
      <c r="B1192" s="3" t="s">
        <v>2368</v>
      </c>
      <c r="C1192" s="3" t="str">
        <f>"裕南街街道"</f>
        <v>裕南街街道</v>
      </c>
      <c r="D1192" s="3" t="str">
        <f>"宝塔山社区"</f>
        <v>宝塔山社区</v>
      </c>
      <c r="E1192" s="3" t="str">
        <f t="shared" si="482"/>
        <v>140</v>
      </c>
      <c r="F1192" s="3" t="str">
        <f t="shared" si="496"/>
        <v>0</v>
      </c>
      <c r="G1192" s="3" t="str">
        <f t="shared" si="497"/>
        <v>四级</v>
      </c>
    </row>
    <row r="1193" customHeight="1" spans="1:7">
      <c r="A1193" s="3" t="str">
        <f>"3592"</f>
        <v>3592</v>
      </c>
      <c r="B1193" s="3" t="s">
        <v>1031</v>
      </c>
      <c r="C1193" s="3" t="str">
        <f>"大托铺街道"</f>
        <v>大托铺街道</v>
      </c>
      <c r="D1193" s="3" t="str">
        <f>"大托村委会"</f>
        <v>大托村委会</v>
      </c>
      <c r="E1193" s="3" t="str">
        <f t="shared" si="482"/>
        <v>140</v>
      </c>
      <c r="F1193" s="3" t="str">
        <f t="shared" ref="F1193:F1199" si="498">"100"</f>
        <v>100</v>
      </c>
      <c r="G1193" s="3" t="str">
        <f t="shared" ref="G1193:G1199" si="499">"二级"</f>
        <v>二级</v>
      </c>
    </row>
    <row r="1194" customHeight="1" spans="1:7">
      <c r="A1194" s="3" t="str">
        <f>"3593"</f>
        <v>3593</v>
      </c>
      <c r="B1194" s="3" t="s">
        <v>2369</v>
      </c>
      <c r="C1194" s="3" t="str">
        <f>"裕南街街道"</f>
        <v>裕南街街道</v>
      </c>
      <c r="D1194" s="3" t="str">
        <f>"仰天湖社区"</f>
        <v>仰天湖社区</v>
      </c>
      <c r="E1194" s="3" t="str">
        <f t="shared" si="482"/>
        <v>140</v>
      </c>
      <c r="F1194" s="3" t="str">
        <f t="shared" si="498"/>
        <v>100</v>
      </c>
      <c r="G1194" s="3" t="str">
        <f t="shared" si="499"/>
        <v>二级</v>
      </c>
    </row>
    <row r="1195" customHeight="1" spans="1:7">
      <c r="A1195" s="3" t="str">
        <f>"3594"</f>
        <v>3594</v>
      </c>
      <c r="B1195" s="3" t="s">
        <v>2370</v>
      </c>
      <c r="C1195" s="3" t="str">
        <f t="shared" ref="C1195:C1199" si="500">"暮云街道"</f>
        <v>暮云街道</v>
      </c>
      <c r="D1195" s="3" t="str">
        <f>"弘高社区"</f>
        <v>弘高社区</v>
      </c>
      <c r="E1195" s="3" t="str">
        <f t="shared" si="482"/>
        <v>140</v>
      </c>
      <c r="F1195" s="3" t="str">
        <f t="shared" si="496"/>
        <v>0</v>
      </c>
      <c r="G1195" s="3" t="str">
        <f t="shared" si="497"/>
        <v>四级</v>
      </c>
    </row>
    <row r="1196" customHeight="1" spans="1:7">
      <c r="A1196" s="3" t="str">
        <f>"3595"</f>
        <v>3595</v>
      </c>
      <c r="B1196" s="3" t="s">
        <v>2371</v>
      </c>
      <c r="C1196" s="3" t="str">
        <f>"桂花坪街道"</f>
        <v>桂花坪街道</v>
      </c>
      <c r="D1196" s="3" t="str">
        <f>"丹桂社区"</f>
        <v>丹桂社区</v>
      </c>
      <c r="E1196" s="3" t="str">
        <f t="shared" si="482"/>
        <v>140</v>
      </c>
      <c r="F1196" s="3" t="str">
        <f t="shared" si="498"/>
        <v>100</v>
      </c>
      <c r="G1196" s="3" t="str">
        <f>"一级"</f>
        <v>一级</v>
      </c>
    </row>
    <row r="1197" customHeight="1" spans="1:7">
      <c r="A1197" s="3" t="str">
        <f>"3596"</f>
        <v>3596</v>
      </c>
      <c r="B1197" s="3" t="s">
        <v>2372</v>
      </c>
      <c r="C1197" s="3" t="str">
        <f t="shared" si="500"/>
        <v>暮云街道</v>
      </c>
      <c r="D1197" s="3" t="str">
        <f>"云塘社区"</f>
        <v>云塘社区</v>
      </c>
      <c r="E1197" s="3" t="str">
        <f t="shared" si="482"/>
        <v>140</v>
      </c>
      <c r="F1197" s="3" t="str">
        <f t="shared" si="498"/>
        <v>100</v>
      </c>
      <c r="G1197" s="3" t="str">
        <f t="shared" si="499"/>
        <v>二级</v>
      </c>
    </row>
    <row r="1198" customHeight="1" spans="1:7">
      <c r="A1198" s="3" t="str">
        <f>"3597"</f>
        <v>3597</v>
      </c>
      <c r="B1198" s="3" t="s">
        <v>2030</v>
      </c>
      <c r="C1198" s="3" t="str">
        <f>"大托铺街道"</f>
        <v>大托铺街道</v>
      </c>
      <c r="D1198" s="3" t="str">
        <f>"黄合村委会"</f>
        <v>黄合村委会</v>
      </c>
      <c r="E1198" s="3" t="str">
        <f t="shared" si="482"/>
        <v>140</v>
      </c>
      <c r="F1198" s="3" t="str">
        <f t="shared" si="498"/>
        <v>100</v>
      </c>
      <c r="G1198" s="3" t="str">
        <f t="shared" si="499"/>
        <v>二级</v>
      </c>
    </row>
    <row r="1199" customHeight="1" spans="1:7">
      <c r="A1199" s="3" t="str">
        <f>"3598"</f>
        <v>3598</v>
      </c>
      <c r="B1199" s="3" t="s">
        <v>2373</v>
      </c>
      <c r="C1199" s="3" t="str">
        <f t="shared" si="500"/>
        <v>暮云街道</v>
      </c>
      <c r="D1199" s="3" t="str">
        <f>"华月湖社区"</f>
        <v>华月湖社区</v>
      </c>
      <c r="E1199" s="3" t="str">
        <f t="shared" si="482"/>
        <v>140</v>
      </c>
      <c r="F1199" s="3" t="str">
        <f t="shared" si="498"/>
        <v>100</v>
      </c>
      <c r="G1199" s="3" t="str">
        <f t="shared" si="499"/>
        <v>二级</v>
      </c>
    </row>
    <row r="1200" customHeight="1" spans="1:7">
      <c r="A1200" s="3" t="str">
        <f>"3599"</f>
        <v>3599</v>
      </c>
      <c r="B1200" s="3" t="s">
        <v>2374</v>
      </c>
      <c r="C1200" s="3" t="str">
        <f>"裕南街街道"</f>
        <v>裕南街街道</v>
      </c>
      <c r="D1200" s="3" t="str">
        <f>"石子冲社区"</f>
        <v>石子冲社区</v>
      </c>
      <c r="E1200" s="3" t="str">
        <f t="shared" si="482"/>
        <v>140</v>
      </c>
      <c r="F1200" s="3" t="str">
        <f>"0"</f>
        <v>0</v>
      </c>
      <c r="G1200" s="3" t="str">
        <f>"三级"</f>
        <v>三级</v>
      </c>
    </row>
    <row r="1201" customHeight="1" spans="1:7">
      <c r="A1201" s="3" t="str">
        <f>"3600"</f>
        <v>3600</v>
      </c>
      <c r="B1201" s="3" t="s">
        <v>2375</v>
      </c>
      <c r="C1201" s="3" t="str">
        <f>"新开铺街道"</f>
        <v>新开铺街道</v>
      </c>
      <c r="D1201" s="3" t="str">
        <f>"桥头社区"</f>
        <v>桥头社区</v>
      </c>
      <c r="E1201" s="3" t="str">
        <f t="shared" si="482"/>
        <v>140</v>
      </c>
      <c r="F1201" s="3" t="str">
        <f>"100"</f>
        <v>100</v>
      </c>
      <c r="G1201" s="3" t="str">
        <f>"二级"</f>
        <v>二级</v>
      </c>
    </row>
  </sheetData>
  <mergeCells count="2">
    <mergeCell ref="A1:G1"/>
    <mergeCell ref="J4:P4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201"/>
  <sheetViews>
    <sheetView tabSelected="1" workbookViewId="0">
      <selection activeCell="H3" sqref="H3"/>
    </sheetView>
  </sheetViews>
  <sheetFormatPr defaultColWidth="9" defaultRowHeight="19.95" customHeight="1"/>
  <cols>
    <col min="1" max="1" width="9.9" style="1" customWidth="1"/>
    <col min="2" max="2" width="9.3" style="1" customWidth="1"/>
    <col min="3" max="3" width="15.7" style="1" customWidth="1"/>
    <col min="4" max="4" width="12" style="1" customWidth="1"/>
    <col min="5" max="16384" width="8.8" style="1"/>
  </cols>
  <sheetData>
    <row r="1" ht="42" customHeight="1" spans="1:7">
      <c r="A1" s="2" t="s">
        <v>2376</v>
      </c>
      <c r="B1" s="2"/>
      <c r="C1" s="2"/>
      <c r="D1" s="2"/>
      <c r="E1" s="2"/>
      <c r="F1" s="2"/>
      <c r="G1" s="2"/>
    </row>
    <row r="2" customHeight="1" spans="1:8">
      <c r="A2" s="3" t="str">
        <f>"3601"</f>
        <v>3601</v>
      </c>
      <c r="B2" s="3" t="s">
        <v>2377</v>
      </c>
      <c r="C2" s="3" t="str">
        <f>"南托街道"</f>
        <v>南托街道</v>
      </c>
      <c r="D2" s="3" t="str">
        <f>"牛角塘村"</f>
        <v>牛角塘村</v>
      </c>
      <c r="E2" s="3" t="str">
        <f t="shared" ref="E2:E65" si="0">"140"</f>
        <v>140</v>
      </c>
      <c r="F2" s="3" t="str">
        <f t="shared" ref="F2:F42" si="1">"100"</f>
        <v>100</v>
      </c>
      <c r="G2" s="3" t="str">
        <f>"二级"</f>
        <v>二级</v>
      </c>
      <c r="H2" s="4"/>
    </row>
    <row r="3" customHeight="1" spans="1:8">
      <c r="A3" s="3" t="str">
        <f>"3602"</f>
        <v>3602</v>
      </c>
      <c r="B3" s="3" t="s">
        <v>1352</v>
      </c>
      <c r="C3" s="3" t="str">
        <f t="shared" ref="C3:C7" si="2">"坡子街街道"</f>
        <v>坡子街街道</v>
      </c>
      <c r="D3" s="3" t="str">
        <f>"文庙坪社区"</f>
        <v>文庙坪社区</v>
      </c>
      <c r="E3" s="3" t="str">
        <f t="shared" si="0"/>
        <v>140</v>
      </c>
      <c r="F3" s="3" t="str">
        <f t="shared" si="1"/>
        <v>100</v>
      </c>
      <c r="G3" s="3" t="str">
        <f t="shared" ref="G3:G9" si="3">"二级"</f>
        <v>二级</v>
      </c>
      <c r="H3" s="4" t="str">
        <f t="shared" ref="H2:H65" si="4">""</f>
        <v/>
      </c>
    </row>
    <row r="4" customHeight="1" spans="1:8">
      <c r="A4" s="3" t="str">
        <f>"3603"</f>
        <v>3603</v>
      </c>
      <c r="B4" s="3" t="s">
        <v>2378</v>
      </c>
      <c r="C4" s="3" t="str">
        <f>"南托街道"</f>
        <v>南托街道</v>
      </c>
      <c r="D4" s="3" t="str">
        <f>"北塘社区"</f>
        <v>北塘社区</v>
      </c>
      <c r="E4" s="3" t="str">
        <f t="shared" si="0"/>
        <v>140</v>
      </c>
      <c r="F4" s="3" t="str">
        <f t="shared" si="1"/>
        <v>100</v>
      </c>
      <c r="G4" s="3" t="str">
        <f t="shared" si="3"/>
        <v>二级</v>
      </c>
      <c r="H4" s="4" t="str">
        <f t="shared" si="4"/>
        <v/>
      </c>
    </row>
    <row r="5" customHeight="1" spans="1:18">
      <c r="A5" s="3" t="str">
        <f>"3604"</f>
        <v>3604</v>
      </c>
      <c r="B5" s="3" t="s">
        <v>2379</v>
      </c>
      <c r="C5" s="3" t="str">
        <f t="shared" si="2"/>
        <v>坡子街街道</v>
      </c>
      <c r="D5" s="3" t="str">
        <f>"坡子街社区"</f>
        <v>坡子街社区</v>
      </c>
      <c r="E5" s="3" t="str">
        <f t="shared" si="0"/>
        <v>140</v>
      </c>
      <c r="F5" s="3" t="str">
        <f t="shared" si="1"/>
        <v>100</v>
      </c>
      <c r="G5" s="3" t="str">
        <f t="shared" si="3"/>
        <v>二级</v>
      </c>
      <c r="H5" s="4" t="str">
        <f t="shared" si="4"/>
        <v/>
      </c>
      <c r="L5" s="5"/>
      <c r="M5" s="5"/>
      <c r="N5" s="5"/>
      <c r="O5" s="5"/>
      <c r="P5" s="5"/>
      <c r="Q5" s="5"/>
      <c r="R5" s="5"/>
    </row>
    <row r="6" customHeight="1" spans="1:8">
      <c r="A6" s="3" t="str">
        <f>"3605"</f>
        <v>3605</v>
      </c>
      <c r="B6" s="3" t="s">
        <v>2380</v>
      </c>
      <c r="C6" s="3" t="str">
        <f>"裕南街街道"</f>
        <v>裕南街街道</v>
      </c>
      <c r="D6" s="3" t="str">
        <f>"长坡社区"</f>
        <v>长坡社区</v>
      </c>
      <c r="E6" s="3" t="str">
        <f t="shared" si="0"/>
        <v>140</v>
      </c>
      <c r="F6" s="3" t="str">
        <f t="shared" si="1"/>
        <v>100</v>
      </c>
      <c r="G6" s="3" t="str">
        <f t="shared" ref="G6:G11" si="5">"一级"</f>
        <v>一级</v>
      </c>
      <c r="H6" s="4" t="str">
        <f t="shared" si="4"/>
        <v/>
      </c>
    </row>
    <row r="7" customHeight="1" spans="1:8">
      <c r="A7" s="3" t="str">
        <f>"3606"</f>
        <v>3606</v>
      </c>
      <c r="B7" s="3" t="s">
        <v>146</v>
      </c>
      <c r="C7" s="3" t="str">
        <f t="shared" si="2"/>
        <v>坡子街街道</v>
      </c>
      <c r="D7" s="3" t="str">
        <f>"青山祠社区"</f>
        <v>青山祠社区</v>
      </c>
      <c r="E7" s="3" t="str">
        <f t="shared" si="0"/>
        <v>140</v>
      </c>
      <c r="F7" s="3" t="str">
        <f t="shared" si="1"/>
        <v>100</v>
      </c>
      <c r="G7" s="3" t="str">
        <f t="shared" si="5"/>
        <v>一级</v>
      </c>
      <c r="H7" s="4" t="str">
        <f t="shared" si="4"/>
        <v/>
      </c>
    </row>
    <row r="8" customHeight="1" spans="1:8">
      <c r="A8" s="3" t="str">
        <f>"3607"</f>
        <v>3607</v>
      </c>
      <c r="B8" s="3" t="s">
        <v>146</v>
      </c>
      <c r="C8" s="3" t="str">
        <f>"南托街道"</f>
        <v>南托街道</v>
      </c>
      <c r="D8" s="3" t="str">
        <f>"滨洲新村"</f>
        <v>滨洲新村</v>
      </c>
      <c r="E8" s="3" t="str">
        <f t="shared" si="0"/>
        <v>140</v>
      </c>
      <c r="F8" s="3" t="str">
        <f t="shared" si="1"/>
        <v>100</v>
      </c>
      <c r="G8" s="3" t="str">
        <f t="shared" si="3"/>
        <v>二级</v>
      </c>
      <c r="H8" s="4" t="str">
        <f t="shared" si="4"/>
        <v/>
      </c>
    </row>
    <row r="9" customHeight="1" spans="1:8">
      <c r="A9" s="3" t="str">
        <f>"3608"</f>
        <v>3608</v>
      </c>
      <c r="B9" s="3" t="s">
        <v>2381</v>
      </c>
      <c r="C9" s="3" t="str">
        <f>"黑石铺街道"</f>
        <v>黑石铺街道</v>
      </c>
      <c r="D9" s="3" t="str">
        <f>"铭安社区"</f>
        <v>铭安社区</v>
      </c>
      <c r="E9" s="3" t="str">
        <f t="shared" si="0"/>
        <v>140</v>
      </c>
      <c r="F9" s="3" t="str">
        <f t="shared" si="1"/>
        <v>100</v>
      </c>
      <c r="G9" s="3" t="str">
        <f t="shared" si="3"/>
        <v>二级</v>
      </c>
      <c r="H9" s="4" t="str">
        <f t="shared" si="4"/>
        <v/>
      </c>
    </row>
    <row r="10" customHeight="1" spans="1:8">
      <c r="A10" s="3" t="str">
        <f>"3609"</f>
        <v>3609</v>
      </c>
      <c r="B10" s="3" t="s">
        <v>1165</v>
      </c>
      <c r="C10" s="3" t="str">
        <f>"赤岭路街道"</f>
        <v>赤岭路街道</v>
      </c>
      <c r="D10" s="3" t="str">
        <f>"芙蓉南路社区"</f>
        <v>芙蓉南路社区</v>
      </c>
      <c r="E10" s="3" t="str">
        <f t="shared" si="0"/>
        <v>140</v>
      </c>
      <c r="F10" s="3" t="str">
        <f t="shared" si="1"/>
        <v>100</v>
      </c>
      <c r="G10" s="3" t="str">
        <f t="shared" si="5"/>
        <v>一级</v>
      </c>
      <c r="H10" s="4" t="str">
        <f t="shared" si="4"/>
        <v/>
      </c>
    </row>
    <row r="11" customHeight="1" spans="1:8">
      <c r="A11" s="3" t="str">
        <f>"3610"</f>
        <v>3610</v>
      </c>
      <c r="B11" s="3" t="s">
        <v>2382</v>
      </c>
      <c r="C11" s="3" t="str">
        <f t="shared" ref="C11:C13" si="6">"坡子街街道"</f>
        <v>坡子街街道</v>
      </c>
      <c r="D11" s="3" t="str">
        <f>"西牌楼社区"</f>
        <v>西牌楼社区</v>
      </c>
      <c r="E11" s="3" t="str">
        <f t="shared" si="0"/>
        <v>140</v>
      </c>
      <c r="F11" s="3" t="str">
        <f t="shared" si="1"/>
        <v>100</v>
      </c>
      <c r="G11" s="3" t="str">
        <f t="shared" si="5"/>
        <v>一级</v>
      </c>
      <c r="H11" s="4" t="str">
        <f t="shared" si="4"/>
        <v/>
      </c>
    </row>
    <row r="12" customHeight="1" spans="1:8">
      <c r="A12" s="3" t="str">
        <f>"3611"</f>
        <v>3611</v>
      </c>
      <c r="B12" s="3" t="s">
        <v>2383</v>
      </c>
      <c r="C12" s="3" t="str">
        <f t="shared" si="6"/>
        <v>坡子街街道</v>
      </c>
      <c r="D12" s="3" t="str">
        <f>"文庙坪社区"</f>
        <v>文庙坪社区</v>
      </c>
      <c r="E12" s="3" t="str">
        <f t="shared" si="0"/>
        <v>140</v>
      </c>
      <c r="F12" s="3" t="str">
        <f t="shared" si="1"/>
        <v>100</v>
      </c>
      <c r="G12" s="3" t="str">
        <f t="shared" ref="G12:G15" si="7">"二级"</f>
        <v>二级</v>
      </c>
      <c r="H12" s="4" t="str">
        <f t="shared" si="4"/>
        <v/>
      </c>
    </row>
    <row r="13" customHeight="1" spans="1:8">
      <c r="A13" s="3" t="str">
        <f>"3612"</f>
        <v>3612</v>
      </c>
      <c r="B13" s="3" t="s">
        <v>76</v>
      </c>
      <c r="C13" s="3" t="str">
        <f t="shared" si="6"/>
        <v>坡子街街道</v>
      </c>
      <c r="D13" s="3" t="str">
        <f>"文庙坪社区"</f>
        <v>文庙坪社区</v>
      </c>
      <c r="E13" s="3" t="str">
        <f t="shared" si="0"/>
        <v>140</v>
      </c>
      <c r="F13" s="3" t="str">
        <f t="shared" si="1"/>
        <v>100</v>
      </c>
      <c r="G13" s="3" t="str">
        <f t="shared" si="7"/>
        <v>二级</v>
      </c>
      <c r="H13" s="4" t="str">
        <f t="shared" si="4"/>
        <v/>
      </c>
    </row>
    <row r="14" customHeight="1" spans="1:8">
      <c r="A14" s="3" t="str">
        <f>"3613"</f>
        <v>3613</v>
      </c>
      <c r="B14" s="3" t="s">
        <v>2384</v>
      </c>
      <c r="C14" s="3" t="str">
        <f>"黑石铺街道"</f>
        <v>黑石铺街道</v>
      </c>
      <c r="D14" s="3" t="str">
        <f>"一力社区"</f>
        <v>一力社区</v>
      </c>
      <c r="E14" s="3" t="str">
        <f t="shared" si="0"/>
        <v>140</v>
      </c>
      <c r="F14" s="3" t="str">
        <f t="shared" si="1"/>
        <v>100</v>
      </c>
      <c r="G14" s="3" t="str">
        <f t="shared" si="7"/>
        <v>二级</v>
      </c>
      <c r="H14" s="4" t="str">
        <f t="shared" si="4"/>
        <v/>
      </c>
    </row>
    <row r="15" customHeight="1" spans="1:8">
      <c r="A15" s="3" t="str">
        <f>"3614"</f>
        <v>3614</v>
      </c>
      <c r="B15" s="3" t="s">
        <v>2385</v>
      </c>
      <c r="C15" s="3" t="str">
        <f>"赤岭路街道"</f>
        <v>赤岭路街道</v>
      </c>
      <c r="D15" s="3" t="str">
        <f>"书院路社区"</f>
        <v>书院路社区</v>
      </c>
      <c r="E15" s="3" t="str">
        <f t="shared" si="0"/>
        <v>140</v>
      </c>
      <c r="F15" s="3" t="str">
        <f t="shared" si="1"/>
        <v>100</v>
      </c>
      <c r="G15" s="3" t="str">
        <f t="shared" si="7"/>
        <v>二级</v>
      </c>
      <c r="H15" s="4" t="str">
        <f t="shared" si="4"/>
        <v/>
      </c>
    </row>
    <row r="16" customHeight="1" spans="1:8">
      <c r="A16" s="3" t="str">
        <f>"3615"</f>
        <v>3615</v>
      </c>
      <c r="B16" s="3" t="s">
        <v>1038</v>
      </c>
      <c r="C16" s="3" t="str">
        <f>"文源街道"</f>
        <v>文源街道</v>
      </c>
      <c r="D16" s="3" t="str">
        <f>"梅岭社区"</f>
        <v>梅岭社区</v>
      </c>
      <c r="E16" s="3" t="str">
        <f t="shared" si="0"/>
        <v>140</v>
      </c>
      <c r="F16" s="3" t="str">
        <f t="shared" si="1"/>
        <v>100</v>
      </c>
      <c r="G16" s="3" t="str">
        <f t="shared" ref="G16:G20" si="8">"一级"</f>
        <v>一级</v>
      </c>
      <c r="H16" s="4" t="str">
        <f t="shared" si="4"/>
        <v/>
      </c>
    </row>
    <row r="17" customHeight="1" spans="1:8">
      <c r="A17" s="3" t="str">
        <f>"3616"</f>
        <v>3616</v>
      </c>
      <c r="B17" s="3" t="s">
        <v>2386</v>
      </c>
      <c r="C17" s="3" t="str">
        <f>"南托街道"</f>
        <v>南托街道</v>
      </c>
      <c r="D17" s="3" t="str">
        <f>"融城社区"</f>
        <v>融城社区</v>
      </c>
      <c r="E17" s="3" t="str">
        <f t="shared" si="0"/>
        <v>140</v>
      </c>
      <c r="F17" s="3" t="str">
        <f t="shared" si="1"/>
        <v>100</v>
      </c>
      <c r="G17" s="3" t="str">
        <f t="shared" si="8"/>
        <v>一级</v>
      </c>
      <c r="H17" s="4" t="str">
        <f t="shared" si="4"/>
        <v/>
      </c>
    </row>
    <row r="18" customHeight="1" spans="1:8">
      <c r="A18" s="3" t="str">
        <f>"3617"</f>
        <v>3617</v>
      </c>
      <c r="B18" s="3" t="s">
        <v>420</v>
      </c>
      <c r="C18" s="3" t="str">
        <f>"南托街道"</f>
        <v>南托街道</v>
      </c>
      <c r="D18" s="3" t="str">
        <f>"融城社区"</f>
        <v>融城社区</v>
      </c>
      <c r="E18" s="3" t="str">
        <f t="shared" si="0"/>
        <v>140</v>
      </c>
      <c r="F18" s="3" t="str">
        <f t="shared" si="1"/>
        <v>100</v>
      </c>
      <c r="G18" s="3" t="str">
        <f t="shared" si="8"/>
        <v>一级</v>
      </c>
      <c r="H18" s="4" t="str">
        <f t="shared" si="4"/>
        <v/>
      </c>
    </row>
    <row r="19" customHeight="1" spans="1:8">
      <c r="A19" s="3" t="str">
        <f>"3618"</f>
        <v>3618</v>
      </c>
      <c r="B19" s="3" t="s">
        <v>129</v>
      </c>
      <c r="C19" s="3" t="str">
        <f>"裕南街街道"</f>
        <v>裕南街街道</v>
      </c>
      <c r="D19" s="3" t="str">
        <f>"向东南社区"</f>
        <v>向东南社区</v>
      </c>
      <c r="E19" s="3" t="str">
        <f t="shared" si="0"/>
        <v>140</v>
      </c>
      <c r="F19" s="3" t="str">
        <f t="shared" si="1"/>
        <v>100</v>
      </c>
      <c r="G19" s="3" t="str">
        <f t="shared" si="8"/>
        <v>一级</v>
      </c>
      <c r="H19" s="4" t="str">
        <f t="shared" si="4"/>
        <v/>
      </c>
    </row>
    <row r="20" customHeight="1" spans="1:8">
      <c r="A20" s="3" t="str">
        <f>"3619"</f>
        <v>3619</v>
      </c>
      <c r="B20" s="3" t="s">
        <v>690</v>
      </c>
      <c r="C20" s="3" t="str">
        <f>"坡子街街道"</f>
        <v>坡子街街道</v>
      </c>
      <c r="D20" s="3" t="str">
        <f>"登仁桥社区"</f>
        <v>登仁桥社区</v>
      </c>
      <c r="E20" s="3" t="str">
        <f t="shared" si="0"/>
        <v>140</v>
      </c>
      <c r="F20" s="3" t="str">
        <f t="shared" si="1"/>
        <v>100</v>
      </c>
      <c r="G20" s="3" t="str">
        <f t="shared" si="8"/>
        <v>一级</v>
      </c>
      <c r="H20" s="4" t="str">
        <f t="shared" si="4"/>
        <v/>
      </c>
    </row>
    <row r="21" customHeight="1" spans="1:8">
      <c r="A21" s="3" t="str">
        <f>"3620"</f>
        <v>3620</v>
      </c>
      <c r="B21" s="3" t="s">
        <v>845</v>
      </c>
      <c r="C21" s="3" t="str">
        <f t="shared" ref="C21:C25" si="9">"青园街道"</f>
        <v>青园街道</v>
      </c>
      <c r="D21" s="3" t="str">
        <f>"青园社区"</f>
        <v>青园社区</v>
      </c>
      <c r="E21" s="3" t="str">
        <f t="shared" si="0"/>
        <v>140</v>
      </c>
      <c r="F21" s="3" t="str">
        <f t="shared" si="1"/>
        <v>100</v>
      </c>
      <c r="G21" s="3" t="str">
        <f t="shared" ref="G21:G24" si="10">"二级"</f>
        <v>二级</v>
      </c>
      <c r="H21" s="4" t="str">
        <f t="shared" si="4"/>
        <v/>
      </c>
    </row>
    <row r="22" customHeight="1" spans="1:8">
      <c r="A22" s="3" t="str">
        <f>"3621"</f>
        <v>3621</v>
      </c>
      <c r="B22" s="3" t="s">
        <v>32</v>
      </c>
      <c r="C22" s="3" t="str">
        <f t="shared" si="9"/>
        <v>青园街道</v>
      </c>
      <c r="D22" s="3" t="str">
        <f>"青园社区"</f>
        <v>青园社区</v>
      </c>
      <c r="E22" s="3" t="str">
        <f t="shared" si="0"/>
        <v>140</v>
      </c>
      <c r="F22" s="3" t="str">
        <f t="shared" si="1"/>
        <v>100</v>
      </c>
      <c r="G22" s="3" t="str">
        <f t="shared" si="10"/>
        <v>二级</v>
      </c>
      <c r="H22" s="4" t="str">
        <f t="shared" si="4"/>
        <v/>
      </c>
    </row>
    <row r="23" customHeight="1" spans="1:8">
      <c r="A23" s="3" t="str">
        <f>"3622"</f>
        <v>3622</v>
      </c>
      <c r="B23" s="3" t="s">
        <v>589</v>
      </c>
      <c r="C23" s="3" t="str">
        <f>"坡子街街道"</f>
        <v>坡子街街道</v>
      </c>
      <c r="D23" s="3" t="str">
        <f>"文庙坪社区"</f>
        <v>文庙坪社区</v>
      </c>
      <c r="E23" s="3" t="str">
        <f t="shared" si="0"/>
        <v>140</v>
      </c>
      <c r="F23" s="3" t="str">
        <f t="shared" si="1"/>
        <v>100</v>
      </c>
      <c r="G23" s="3" t="str">
        <f t="shared" si="10"/>
        <v>二级</v>
      </c>
      <c r="H23" s="4" t="str">
        <f t="shared" si="4"/>
        <v/>
      </c>
    </row>
    <row r="24" customHeight="1" spans="1:8">
      <c r="A24" s="3" t="str">
        <f>"3623"</f>
        <v>3623</v>
      </c>
      <c r="B24" s="3" t="s">
        <v>2387</v>
      </c>
      <c r="C24" s="3" t="str">
        <f>"裕南街街道"</f>
        <v>裕南街街道</v>
      </c>
      <c r="D24" s="3" t="str">
        <f>"仰天湖社区"</f>
        <v>仰天湖社区</v>
      </c>
      <c r="E24" s="3" t="str">
        <f t="shared" si="0"/>
        <v>140</v>
      </c>
      <c r="F24" s="3" t="str">
        <f t="shared" si="1"/>
        <v>100</v>
      </c>
      <c r="G24" s="3" t="str">
        <f t="shared" si="10"/>
        <v>二级</v>
      </c>
      <c r="H24" s="4" t="str">
        <f t="shared" si="4"/>
        <v/>
      </c>
    </row>
    <row r="25" customHeight="1" spans="1:8">
      <c r="A25" s="3" t="str">
        <f>"3624"</f>
        <v>3624</v>
      </c>
      <c r="B25" s="3" t="s">
        <v>1340</v>
      </c>
      <c r="C25" s="3" t="str">
        <f t="shared" si="9"/>
        <v>青园街道</v>
      </c>
      <c r="D25" s="3" t="str">
        <f>"友谊社区"</f>
        <v>友谊社区</v>
      </c>
      <c r="E25" s="3" t="str">
        <f t="shared" si="0"/>
        <v>140</v>
      </c>
      <c r="F25" s="3" t="str">
        <f t="shared" si="1"/>
        <v>100</v>
      </c>
      <c r="G25" s="3" t="str">
        <f>"一级"</f>
        <v>一级</v>
      </c>
      <c r="H25" s="4" t="str">
        <f t="shared" si="4"/>
        <v/>
      </c>
    </row>
    <row r="26" customHeight="1" spans="1:8">
      <c r="A26" s="3" t="str">
        <f>"3625"</f>
        <v>3625</v>
      </c>
      <c r="B26" s="3" t="s">
        <v>2320</v>
      </c>
      <c r="C26" s="3" t="str">
        <f>"黑石铺街道"</f>
        <v>黑石铺街道</v>
      </c>
      <c r="D26" s="3" t="str">
        <f>"一力社区"</f>
        <v>一力社区</v>
      </c>
      <c r="E26" s="3" t="str">
        <f t="shared" si="0"/>
        <v>140</v>
      </c>
      <c r="F26" s="3" t="str">
        <f t="shared" si="1"/>
        <v>100</v>
      </c>
      <c r="G26" s="3" t="str">
        <f t="shared" ref="G26:G31" si="11">"二级"</f>
        <v>二级</v>
      </c>
      <c r="H26" s="4" t="str">
        <f t="shared" si="4"/>
        <v/>
      </c>
    </row>
    <row r="27" customHeight="1" spans="1:8">
      <c r="A27" s="3" t="str">
        <f>"3626"</f>
        <v>3626</v>
      </c>
      <c r="B27" s="3" t="s">
        <v>1456</v>
      </c>
      <c r="C27" s="3" t="str">
        <f>"赤岭路街道"</f>
        <v>赤岭路街道</v>
      </c>
      <c r="D27" s="3" t="str">
        <f>"白沙花园社区"</f>
        <v>白沙花园社区</v>
      </c>
      <c r="E27" s="3" t="str">
        <f t="shared" si="0"/>
        <v>140</v>
      </c>
      <c r="F27" s="3" t="str">
        <f t="shared" si="1"/>
        <v>100</v>
      </c>
      <c r="G27" s="3" t="str">
        <f>"一级"</f>
        <v>一级</v>
      </c>
      <c r="H27" s="4" t="str">
        <f t="shared" si="4"/>
        <v/>
      </c>
    </row>
    <row r="28" customHeight="1" spans="1:8">
      <c r="A28" s="3" t="str">
        <f>"3627"</f>
        <v>3627</v>
      </c>
      <c r="B28" s="3" t="s">
        <v>2388</v>
      </c>
      <c r="C28" s="3" t="str">
        <f>"先锋街道"</f>
        <v>先锋街道</v>
      </c>
      <c r="D28" s="3" t="str">
        <f>"南城社区"</f>
        <v>南城社区</v>
      </c>
      <c r="E28" s="3" t="str">
        <f t="shared" si="0"/>
        <v>140</v>
      </c>
      <c r="F28" s="3" t="str">
        <f t="shared" si="1"/>
        <v>100</v>
      </c>
      <c r="G28" s="3" t="str">
        <f t="shared" si="11"/>
        <v>二级</v>
      </c>
      <c r="H28" s="4" t="str">
        <f t="shared" si="4"/>
        <v/>
      </c>
    </row>
    <row r="29" customHeight="1" spans="1:8">
      <c r="A29" s="3" t="str">
        <f>"3628"</f>
        <v>3628</v>
      </c>
      <c r="B29" s="3" t="s">
        <v>66</v>
      </c>
      <c r="C29" s="3" t="str">
        <f t="shared" ref="C29:C32" si="12">"坡子街街道"</f>
        <v>坡子街街道</v>
      </c>
      <c r="D29" s="3" t="str">
        <f>"登仁桥社区"</f>
        <v>登仁桥社区</v>
      </c>
      <c r="E29" s="3" t="str">
        <f t="shared" si="0"/>
        <v>140</v>
      </c>
      <c r="F29" s="3" t="str">
        <f t="shared" si="1"/>
        <v>100</v>
      </c>
      <c r="G29" s="3" t="str">
        <f t="shared" si="11"/>
        <v>二级</v>
      </c>
      <c r="H29" s="4" t="str">
        <f t="shared" si="4"/>
        <v/>
      </c>
    </row>
    <row r="30" customHeight="1" spans="1:8">
      <c r="A30" s="3" t="str">
        <f>"3629"</f>
        <v>3629</v>
      </c>
      <c r="B30" s="3" t="s">
        <v>2389</v>
      </c>
      <c r="C30" s="3" t="str">
        <f>"新开铺街道"</f>
        <v>新开铺街道</v>
      </c>
      <c r="D30" s="3" t="str">
        <f>"新开铺社区"</f>
        <v>新开铺社区</v>
      </c>
      <c r="E30" s="3" t="str">
        <f t="shared" si="0"/>
        <v>140</v>
      </c>
      <c r="F30" s="3" t="str">
        <f t="shared" si="1"/>
        <v>100</v>
      </c>
      <c r="G30" s="3" t="str">
        <f t="shared" si="11"/>
        <v>二级</v>
      </c>
      <c r="H30" s="4" t="str">
        <f t="shared" si="4"/>
        <v/>
      </c>
    </row>
    <row r="31" customHeight="1" spans="1:8">
      <c r="A31" s="3" t="str">
        <f>"3630"</f>
        <v>3630</v>
      </c>
      <c r="B31" s="3" t="s">
        <v>2390</v>
      </c>
      <c r="C31" s="3" t="str">
        <f t="shared" si="12"/>
        <v>坡子街街道</v>
      </c>
      <c r="D31" s="3" t="str">
        <f>"创远社区"</f>
        <v>创远社区</v>
      </c>
      <c r="E31" s="3" t="str">
        <f t="shared" si="0"/>
        <v>140</v>
      </c>
      <c r="F31" s="3" t="str">
        <f t="shared" si="1"/>
        <v>100</v>
      </c>
      <c r="G31" s="3" t="str">
        <f t="shared" si="11"/>
        <v>二级</v>
      </c>
      <c r="H31" s="4" t="str">
        <f t="shared" si="4"/>
        <v/>
      </c>
    </row>
    <row r="32" customHeight="1" spans="1:8">
      <c r="A32" s="3" t="str">
        <f>"3631"</f>
        <v>3631</v>
      </c>
      <c r="B32" s="3" t="s">
        <v>2391</v>
      </c>
      <c r="C32" s="3" t="str">
        <f t="shared" si="12"/>
        <v>坡子街街道</v>
      </c>
      <c r="D32" s="3" t="str">
        <f>"楚湘社区"</f>
        <v>楚湘社区</v>
      </c>
      <c r="E32" s="3" t="str">
        <f t="shared" si="0"/>
        <v>140</v>
      </c>
      <c r="F32" s="3" t="str">
        <f t="shared" si="1"/>
        <v>100</v>
      </c>
      <c r="G32" s="3" t="str">
        <f t="shared" ref="G32:G37" si="13">"一级"</f>
        <v>一级</v>
      </c>
      <c r="H32" s="4" t="str">
        <f t="shared" si="4"/>
        <v/>
      </c>
    </row>
    <row r="33" customHeight="1" spans="1:8">
      <c r="A33" s="3" t="str">
        <f>"3632"</f>
        <v>3632</v>
      </c>
      <c r="B33" s="3" t="s">
        <v>2392</v>
      </c>
      <c r="C33" s="3" t="str">
        <f>"金盆岭街道"</f>
        <v>金盆岭街道</v>
      </c>
      <c r="D33" s="3" t="str">
        <f>"黄土岭社区"</f>
        <v>黄土岭社区</v>
      </c>
      <c r="E33" s="3" t="str">
        <f t="shared" si="0"/>
        <v>140</v>
      </c>
      <c r="F33" s="3" t="str">
        <f t="shared" si="1"/>
        <v>100</v>
      </c>
      <c r="G33" s="3" t="str">
        <f t="shared" ref="G33:G36" si="14">"二级"</f>
        <v>二级</v>
      </c>
      <c r="H33" s="4" t="str">
        <f t="shared" si="4"/>
        <v/>
      </c>
    </row>
    <row r="34" customHeight="1" spans="1:8">
      <c r="A34" s="3" t="str">
        <f>"3633"</f>
        <v>3633</v>
      </c>
      <c r="B34" s="3" t="s">
        <v>77</v>
      </c>
      <c r="C34" s="3" t="str">
        <f>"裕南街街道"</f>
        <v>裕南街街道</v>
      </c>
      <c r="D34" s="3" t="str">
        <f>"东瓜山社区"</f>
        <v>东瓜山社区</v>
      </c>
      <c r="E34" s="3" t="str">
        <f t="shared" si="0"/>
        <v>140</v>
      </c>
      <c r="F34" s="3" t="str">
        <f t="shared" si="1"/>
        <v>100</v>
      </c>
      <c r="G34" s="3" t="str">
        <f t="shared" si="13"/>
        <v>一级</v>
      </c>
      <c r="H34" s="4" t="str">
        <f t="shared" si="4"/>
        <v/>
      </c>
    </row>
    <row r="35" customHeight="1" spans="1:8">
      <c r="A35" s="3" t="str">
        <f>"3634"</f>
        <v>3634</v>
      </c>
      <c r="B35" s="3" t="s">
        <v>32</v>
      </c>
      <c r="C35" s="3" t="str">
        <f t="shared" ref="C35:C38" si="15">"南托街道"</f>
        <v>南托街道</v>
      </c>
      <c r="D35" s="3" t="str">
        <f>"牛角塘村"</f>
        <v>牛角塘村</v>
      </c>
      <c r="E35" s="3" t="str">
        <f t="shared" si="0"/>
        <v>140</v>
      </c>
      <c r="F35" s="3" t="str">
        <f t="shared" si="1"/>
        <v>100</v>
      </c>
      <c r="G35" s="3" t="str">
        <f t="shared" si="14"/>
        <v>二级</v>
      </c>
      <c r="H35" s="4" t="str">
        <f t="shared" si="4"/>
        <v/>
      </c>
    </row>
    <row r="36" customHeight="1" spans="1:8">
      <c r="A36" s="3" t="str">
        <f>"3635"</f>
        <v>3635</v>
      </c>
      <c r="B36" s="3" t="s">
        <v>2393</v>
      </c>
      <c r="C36" s="3" t="str">
        <f>"新开铺街道"</f>
        <v>新开铺街道</v>
      </c>
      <c r="D36" s="3" t="str">
        <f>"豹子岭社区"</f>
        <v>豹子岭社区</v>
      </c>
      <c r="E36" s="3" t="str">
        <f t="shared" si="0"/>
        <v>140</v>
      </c>
      <c r="F36" s="3" t="str">
        <f t="shared" si="1"/>
        <v>100</v>
      </c>
      <c r="G36" s="3" t="str">
        <f t="shared" si="14"/>
        <v>二级</v>
      </c>
      <c r="H36" s="4" t="str">
        <f t="shared" si="4"/>
        <v/>
      </c>
    </row>
    <row r="37" customHeight="1" spans="1:8">
      <c r="A37" s="3" t="str">
        <f>"3636"</f>
        <v>3636</v>
      </c>
      <c r="B37" s="3" t="s">
        <v>2394</v>
      </c>
      <c r="C37" s="3" t="str">
        <f t="shared" si="15"/>
        <v>南托街道</v>
      </c>
      <c r="D37" s="3" t="str">
        <f>"牛角塘村"</f>
        <v>牛角塘村</v>
      </c>
      <c r="E37" s="3" t="str">
        <f t="shared" si="0"/>
        <v>140</v>
      </c>
      <c r="F37" s="3" t="str">
        <f t="shared" si="1"/>
        <v>100</v>
      </c>
      <c r="G37" s="3" t="str">
        <f t="shared" si="13"/>
        <v>一级</v>
      </c>
      <c r="H37" s="4" t="str">
        <f t="shared" si="4"/>
        <v/>
      </c>
    </row>
    <row r="38" customHeight="1" spans="1:8">
      <c r="A38" s="3" t="str">
        <f>"3637"</f>
        <v>3637</v>
      </c>
      <c r="B38" s="3" t="s">
        <v>2395</v>
      </c>
      <c r="C38" s="3" t="str">
        <f t="shared" si="15"/>
        <v>南托街道</v>
      </c>
      <c r="D38" s="3" t="str">
        <f>"滨洲新村"</f>
        <v>滨洲新村</v>
      </c>
      <c r="E38" s="3" t="str">
        <f t="shared" si="0"/>
        <v>140</v>
      </c>
      <c r="F38" s="3" t="str">
        <f t="shared" si="1"/>
        <v>100</v>
      </c>
      <c r="G38" s="3" t="str">
        <f t="shared" ref="G38:G42" si="16">"二级"</f>
        <v>二级</v>
      </c>
      <c r="H38" s="4" t="str">
        <f t="shared" si="4"/>
        <v/>
      </c>
    </row>
    <row r="39" customHeight="1" spans="1:8">
      <c r="A39" s="3" t="str">
        <f>"3638"</f>
        <v>3638</v>
      </c>
      <c r="B39" s="3" t="s">
        <v>70</v>
      </c>
      <c r="C39" s="3" t="str">
        <f>"暮云街道"</f>
        <v>暮云街道</v>
      </c>
      <c r="D39" s="3" t="str">
        <f>"高云社区"</f>
        <v>高云社区</v>
      </c>
      <c r="E39" s="3" t="str">
        <f t="shared" si="0"/>
        <v>140</v>
      </c>
      <c r="F39" s="3" t="str">
        <f t="shared" si="1"/>
        <v>100</v>
      </c>
      <c r="G39" s="3" t="str">
        <f t="shared" si="16"/>
        <v>二级</v>
      </c>
      <c r="H39" s="4" t="str">
        <f t="shared" si="4"/>
        <v/>
      </c>
    </row>
    <row r="40" customHeight="1" spans="1:8">
      <c r="A40" s="3" t="str">
        <f>"3639"</f>
        <v>3639</v>
      </c>
      <c r="B40" s="3" t="s">
        <v>2396</v>
      </c>
      <c r="C40" s="3" t="str">
        <f>"桂花坪街道"</f>
        <v>桂花坪街道</v>
      </c>
      <c r="D40" s="3" t="str">
        <f>"金桂社区"</f>
        <v>金桂社区</v>
      </c>
      <c r="E40" s="3" t="str">
        <f t="shared" si="0"/>
        <v>140</v>
      </c>
      <c r="F40" s="3" t="str">
        <f t="shared" si="1"/>
        <v>100</v>
      </c>
      <c r="G40" s="3" t="str">
        <f t="shared" si="16"/>
        <v>二级</v>
      </c>
      <c r="H40" s="4" t="str">
        <f t="shared" si="4"/>
        <v/>
      </c>
    </row>
    <row r="41" customHeight="1" spans="1:8">
      <c r="A41" s="3" t="str">
        <f>"3640"</f>
        <v>3640</v>
      </c>
      <c r="B41" s="3" t="s">
        <v>2397</v>
      </c>
      <c r="C41" s="3" t="str">
        <f>"金盆岭街道"</f>
        <v>金盆岭街道</v>
      </c>
      <c r="D41" s="3" t="str">
        <f>"黄土岭社区"</f>
        <v>黄土岭社区</v>
      </c>
      <c r="E41" s="3" t="str">
        <f t="shared" si="0"/>
        <v>140</v>
      </c>
      <c r="F41" s="3" t="str">
        <f t="shared" si="1"/>
        <v>100</v>
      </c>
      <c r="G41" s="3" t="str">
        <f t="shared" si="16"/>
        <v>二级</v>
      </c>
      <c r="H41" s="4" t="str">
        <f t="shared" si="4"/>
        <v/>
      </c>
    </row>
    <row r="42" customHeight="1" spans="1:8">
      <c r="A42" s="3" t="str">
        <f>"3641"</f>
        <v>3641</v>
      </c>
      <c r="B42" s="3" t="s">
        <v>2398</v>
      </c>
      <c r="C42" s="3" t="str">
        <f>"坡子街街道"</f>
        <v>坡子街街道</v>
      </c>
      <c r="D42" s="3" t="str">
        <f>"坡子街社区"</f>
        <v>坡子街社区</v>
      </c>
      <c r="E42" s="3" t="str">
        <f t="shared" si="0"/>
        <v>140</v>
      </c>
      <c r="F42" s="3" t="str">
        <f t="shared" si="1"/>
        <v>100</v>
      </c>
      <c r="G42" s="3" t="str">
        <f t="shared" si="16"/>
        <v>二级</v>
      </c>
      <c r="H42" s="4" t="str">
        <f t="shared" si="4"/>
        <v/>
      </c>
    </row>
    <row r="43" customHeight="1" spans="1:8">
      <c r="A43" s="3" t="str">
        <f>"3642"</f>
        <v>3642</v>
      </c>
      <c r="B43" s="3" t="s">
        <v>2399</v>
      </c>
      <c r="C43" s="3" t="str">
        <f>"金盆岭街道"</f>
        <v>金盆岭街道</v>
      </c>
      <c r="D43" s="3" t="str">
        <f>"夏家冲社区"</f>
        <v>夏家冲社区</v>
      </c>
      <c r="E43" s="3" t="str">
        <f t="shared" si="0"/>
        <v>140</v>
      </c>
      <c r="F43" s="3" t="str">
        <f>"0"</f>
        <v>0</v>
      </c>
      <c r="G43" s="3" t="str">
        <f>"三级"</f>
        <v>三级</v>
      </c>
      <c r="H43" s="4" t="str">
        <f t="shared" si="4"/>
        <v/>
      </c>
    </row>
    <row r="44" customHeight="1" spans="1:8">
      <c r="A44" s="3" t="str">
        <f>"3643"</f>
        <v>3643</v>
      </c>
      <c r="B44" s="3" t="s">
        <v>425</v>
      </c>
      <c r="C44" s="3" t="str">
        <f t="shared" ref="C44:C51" si="17">"裕南街街道"</f>
        <v>裕南街街道</v>
      </c>
      <c r="D44" s="3" t="str">
        <f>"火把山社区"</f>
        <v>火把山社区</v>
      </c>
      <c r="E44" s="3" t="str">
        <f t="shared" si="0"/>
        <v>140</v>
      </c>
      <c r="F44" s="3" t="str">
        <f t="shared" ref="F44:F55" si="18">"100"</f>
        <v>100</v>
      </c>
      <c r="G44" s="3" t="str">
        <f t="shared" ref="G44:G46" si="19">"二级"</f>
        <v>二级</v>
      </c>
      <c r="H44" s="4" t="str">
        <f t="shared" si="4"/>
        <v/>
      </c>
    </row>
    <row r="45" customHeight="1" spans="1:8">
      <c r="A45" s="3" t="str">
        <f>"3644"</f>
        <v>3644</v>
      </c>
      <c r="B45" s="3" t="s">
        <v>2400</v>
      </c>
      <c r="C45" s="3" t="str">
        <f>"桂花坪街道"</f>
        <v>桂花坪街道</v>
      </c>
      <c r="D45" s="3" t="str">
        <f>"桂庄社区"</f>
        <v>桂庄社区</v>
      </c>
      <c r="E45" s="3" t="str">
        <f t="shared" si="0"/>
        <v>140</v>
      </c>
      <c r="F45" s="3" t="str">
        <f t="shared" si="18"/>
        <v>100</v>
      </c>
      <c r="G45" s="3" t="str">
        <f t="shared" si="19"/>
        <v>二级</v>
      </c>
      <c r="H45" s="4" t="str">
        <f t="shared" si="4"/>
        <v/>
      </c>
    </row>
    <row r="46" customHeight="1" spans="1:8">
      <c r="A46" s="3" t="str">
        <f>"3645"</f>
        <v>3645</v>
      </c>
      <c r="B46" s="3" t="s">
        <v>2401</v>
      </c>
      <c r="C46" s="3" t="str">
        <f t="shared" si="17"/>
        <v>裕南街街道</v>
      </c>
      <c r="D46" s="3" t="str">
        <f>"仰天湖社区"</f>
        <v>仰天湖社区</v>
      </c>
      <c r="E46" s="3" t="str">
        <f t="shared" si="0"/>
        <v>140</v>
      </c>
      <c r="F46" s="3" t="str">
        <f t="shared" si="18"/>
        <v>100</v>
      </c>
      <c r="G46" s="3" t="str">
        <f t="shared" si="19"/>
        <v>二级</v>
      </c>
      <c r="H46" s="4" t="str">
        <f t="shared" si="4"/>
        <v/>
      </c>
    </row>
    <row r="47" customHeight="1" spans="1:8">
      <c r="A47" s="3" t="str">
        <f>"3646"</f>
        <v>3646</v>
      </c>
      <c r="B47" s="3" t="s">
        <v>2402</v>
      </c>
      <c r="C47" s="3" t="str">
        <f>"南托街道"</f>
        <v>南托街道</v>
      </c>
      <c r="D47" s="3" t="str">
        <f>"沿江村"</f>
        <v>沿江村</v>
      </c>
      <c r="E47" s="3" t="str">
        <f t="shared" si="0"/>
        <v>140</v>
      </c>
      <c r="F47" s="3" t="str">
        <f t="shared" si="18"/>
        <v>100</v>
      </c>
      <c r="G47" s="3" t="str">
        <f t="shared" ref="G47:G53" si="20">"一级"</f>
        <v>一级</v>
      </c>
      <c r="H47" s="4" t="str">
        <f t="shared" si="4"/>
        <v/>
      </c>
    </row>
    <row r="48" customHeight="1" spans="1:8">
      <c r="A48" s="3" t="str">
        <f>"3647"</f>
        <v>3647</v>
      </c>
      <c r="B48" s="3" t="s">
        <v>163</v>
      </c>
      <c r="C48" s="3" t="str">
        <f>"青园街道"</f>
        <v>青园街道</v>
      </c>
      <c r="D48" s="3" t="str">
        <f>"青园社区"</f>
        <v>青园社区</v>
      </c>
      <c r="E48" s="3" t="str">
        <f t="shared" si="0"/>
        <v>140</v>
      </c>
      <c r="F48" s="3" t="str">
        <f t="shared" si="18"/>
        <v>100</v>
      </c>
      <c r="G48" s="3" t="str">
        <f t="shared" si="20"/>
        <v>一级</v>
      </c>
      <c r="H48" s="4" t="str">
        <f t="shared" si="4"/>
        <v/>
      </c>
    </row>
    <row r="49" customHeight="1" spans="1:8">
      <c r="A49" s="3" t="str">
        <f>"3648"</f>
        <v>3648</v>
      </c>
      <c r="B49" s="3" t="s">
        <v>857</v>
      </c>
      <c r="C49" s="3" t="str">
        <f t="shared" si="17"/>
        <v>裕南街街道</v>
      </c>
      <c r="D49" s="3" t="str">
        <f>"向东南社区"</f>
        <v>向东南社区</v>
      </c>
      <c r="E49" s="3" t="str">
        <f t="shared" si="0"/>
        <v>140</v>
      </c>
      <c r="F49" s="3" t="str">
        <f t="shared" si="18"/>
        <v>100</v>
      </c>
      <c r="G49" s="3" t="str">
        <f t="shared" ref="G49:G51" si="21">"二级"</f>
        <v>二级</v>
      </c>
      <c r="H49" s="4" t="str">
        <f t="shared" si="4"/>
        <v/>
      </c>
    </row>
    <row r="50" customHeight="1" spans="1:8">
      <c r="A50" s="3" t="str">
        <f>"3649"</f>
        <v>3649</v>
      </c>
      <c r="B50" s="3" t="s">
        <v>2403</v>
      </c>
      <c r="C50" s="3" t="str">
        <f t="shared" si="17"/>
        <v>裕南街街道</v>
      </c>
      <c r="D50" s="3" t="str">
        <f>"东瓜山社区"</f>
        <v>东瓜山社区</v>
      </c>
      <c r="E50" s="3" t="str">
        <f t="shared" si="0"/>
        <v>140</v>
      </c>
      <c r="F50" s="3" t="str">
        <f t="shared" si="18"/>
        <v>100</v>
      </c>
      <c r="G50" s="3" t="str">
        <f t="shared" si="21"/>
        <v>二级</v>
      </c>
      <c r="H50" s="4" t="str">
        <f t="shared" si="4"/>
        <v/>
      </c>
    </row>
    <row r="51" customHeight="1" spans="1:8">
      <c r="A51" s="3" t="str">
        <f>"3650"</f>
        <v>3650</v>
      </c>
      <c r="B51" s="3" t="s">
        <v>41</v>
      </c>
      <c r="C51" s="3" t="str">
        <f t="shared" si="17"/>
        <v>裕南街街道</v>
      </c>
      <c r="D51" s="3" t="str">
        <f>"长坡社区"</f>
        <v>长坡社区</v>
      </c>
      <c r="E51" s="3" t="str">
        <f t="shared" si="0"/>
        <v>140</v>
      </c>
      <c r="F51" s="3" t="str">
        <f t="shared" si="18"/>
        <v>100</v>
      </c>
      <c r="G51" s="3" t="str">
        <f t="shared" si="21"/>
        <v>二级</v>
      </c>
      <c r="H51" s="4" t="str">
        <f t="shared" si="4"/>
        <v/>
      </c>
    </row>
    <row r="52" customHeight="1" spans="1:8">
      <c r="A52" s="3" t="str">
        <f>"3651"</f>
        <v>3651</v>
      </c>
      <c r="B52" s="3" t="s">
        <v>2404</v>
      </c>
      <c r="C52" s="3" t="str">
        <f>"赤岭路街道"</f>
        <v>赤岭路街道</v>
      </c>
      <c r="D52" s="3" t="str">
        <f>"南大桥社区"</f>
        <v>南大桥社区</v>
      </c>
      <c r="E52" s="3" t="str">
        <f t="shared" si="0"/>
        <v>140</v>
      </c>
      <c r="F52" s="3" t="str">
        <f t="shared" si="18"/>
        <v>100</v>
      </c>
      <c r="G52" s="3" t="str">
        <f t="shared" si="20"/>
        <v>一级</v>
      </c>
      <c r="H52" s="4" t="str">
        <f t="shared" si="4"/>
        <v/>
      </c>
    </row>
    <row r="53" customHeight="1" spans="1:8">
      <c r="A53" s="3" t="str">
        <f>"3652"</f>
        <v>3652</v>
      </c>
      <c r="B53" s="3" t="s">
        <v>883</v>
      </c>
      <c r="C53" s="3" t="str">
        <f>"青园街道"</f>
        <v>青园街道</v>
      </c>
      <c r="D53" s="3" t="str">
        <f>"友谊社区"</f>
        <v>友谊社区</v>
      </c>
      <c r="E53" s="3" t="str">
        <f t="shared" si="0"/>
        <v>140</v>
      </c>
      <c r="F53" s="3" t="str">
        <f t="shared" si="18"/>
        <v>100</v>
      </c>
      <c r="G53" s="3" t="str">
        <f t="shared" si="20"/>
        <v>一级</v>
      </c>
      <c r="H53" s="4" t="str">
        <f t="shared" si="4"/>
        <v/>
      </c>
    </row>
    <row r="54" customHeight="1" spans="1:8">
      <c r="A54" s="3" t="str">
        <f>"3653"</f>
        <v>3653</v>
      </c>
      <c r="B54" s="3" t="s">
        <v>418</v>
      </c>
      <c r="C54" s="3" t="str">
        <f>"赤岭路街道"</f>
        <v>赤岭路街道</v>
      </c>
      <c r="D54" s="3" t="str">
        <f>"书院路社区"</f>
        <v>书院路社区</v>
      </c>
      <c r="E54" s="3" t="str">
        <f t="shared" si="0"/>
        <v>140</v>
      </c>
      <c r="F54" s="3" t="str">
        <f t="shared" si="18"/>
        <v>100</v>
      </c>
      <c r="G54" s="3" t="str">
        <f t="shared" ref="G54:G60" si="22">"二级"</f>
        <v>二级</v>
      </c>
      <c r="H54" s="4" t="str">
        <f t="shared" si="4"/>
        <v/>
      </c>
    </row>
    <row r="55" customHeight="1" spans="1:8">
      <c r="A55" s="3" t="str">
        <f>"3654"</f>
        <v>3654</v>
      </c>
      <c r="B55" s="3" t="s">
        <v>2405</v>
      </c>
      <c r="C55" s="3" t="str">
        <f>"文源街道"</f>
        <v>文源街道</v>
      </c>
      <c r="D55" s="3" t="str">
        <f>"天鸿社区"</f>
        <v>天鸿社区</v>
      </c>
      <c r="E55" s="3" t="str">
        <f t="shared" si="0"/>
        <v>140</v>
      </c>
      <c r="F55" s="3" t="str">
        <f t="shared" si="18"/>
        <v>100</v>
      </c>
      <c r="G55" s="3" t="str">
        <f t="shared" si="22"/>
        <v>二级</v>
      </c>
      <c r="H55" s="4" t="str">
        <f t="shared" si="4"/>
        <v/>
      </c>
    </row>
    <row r="56" customHeight="1" spans="1:8">
      <c r="A56" s="3" t="str">
        <f>"3655"</f>
        <v>3655</v>
      </c>
      <c r="B56" s="3" t="s">
        <v>1006</v>
      </c>
      <c r="C56" s="3" t="str">
        <f>"坡子街街道"</f>
        <v>坡子街街道</v>
      </c>
      <c r="D56" s="3" t="str">
        <f>"西湖社区"</f>
        <v>西湖社区</v>
      </c>
      <c r="E56" s="3" t="str">
        <f t="shared" si="0"/>
        <v>140</v>
      </c>
      <c r="F56" s="3" t="str">
        <f>"0"</f>
        <v>0</v>
      </c>
      <c r="G56" s="3" t="str">
        <f>"三级"</f>
        <v>三级</v>
      </c>
      <c r="H56" s="4" t="str">
        <f t="shared" si="4"/>
        <v/>
      </c>
    </row>
    <row r="57" customHeight="1" spans="1:8">
      <c r="A57" s="3" t="str">
        <f>"3656"</f>
        <v>3656</v>
      </c>
      <c r="B57" s="3" t="s">
        <v>2406</v>
      </c>
      <c r="C57" s="3" t="str">
        <f>"坡子街街道"</f>
        <v>坡子街街道</v>
      </c>
      <c r="D57" s="3" t="str">
        <f>"登仁桥社区"</f>
        <v>登仁桥社区</v>
      </c>
      <c r="E57" s="3" t="str">
        <f t="shared" si="0"/>
        <v>140</v>
      </c>
      <c r="F57" s="3" t="str">
        <f t="shared" ref="F57:F62" si="23">"100"</f>
        <v>100</v>
      </c>
      <c r="G57" s="3" t="str">
        <f t="shared" si="22"/>
        <v>二级</v>
      </c>
      <c r="H57" s="4" t="str">
        <f t="shared" si="4"/>
        <v/>
      </c>
    </row>
    <row r="58" customHeight="1" spans="1:8">
      <c r="A58" s="3" t="str">
        <f>"3657"</f>
        <v>3657</v>
      </c>
      <c r="B58" s="3" t="s">
        <v>2407</v>
      </c>
      <c r="C58" s="3" t="str">
        <f>"青园街道"</f>
        <v>青园街道</v>
      </c>
      <c r="D58" s="3" t="str">
        <f>"青园社区"</f>
        <v>青园社区</v>
      </c>
      <c r="E58" s="3" t="str">
        <f t="shared" si="0"/>
        <v>140</v>
      </c>
      <c r="F58" s="3" t="str">
        <f t="shared" si="23"/>
        <v>100</v>
      </c>
      <c r="G58" s="3" t="str">
        <f t="shared" si="22"/>
        <v>二级</v>
      </c>
      <c r="H58" s="4" t="str">
        <f t="shared" si="4"/>
        <v/>
      </c>
    </row>
    <row r="59" customHeight="1" spans="1:8">
      <c r="A59" s="3" t="str">
        <f>"3658"</f>
        <v>3658</v>
      </c>
      <c r="B59" s="3" t="s">
        <v>2408</v>
      </c>
      <c r="C59" s="3" t="str">
        <f>"新开铺街道"</f>
        <v>新开铺街道</v>
      </c>
      <c r="D59" s="3" t="str">
        <f>"桥头社区"</f>
        <v>桥头社区</v>
      </c>
      <c r="E59" s="3" t="str">
        <f t="shared" si="0"/>
        <v>140</v>
      </c>
      <c r="F59" s="3" t="str">
        <f t="shared" si="23"/>
        <v>100</v>
      </c>
      <c r="G59" s="3" t="str">
        <f t="shared" si="22"/>
        <v>二级</v>
      </c>
      <c r="H59" s="4" t="str">
        <f t="shared" si="4"/>
        <v/>
      </c>
    </row>
    <row r="60" customHeight="1" spans="1:8">
      <c r="A60" s="3" t="str">
        <f>"3659"</f>
        <v>3659</v>
      </c>
      <c r="B60" s="3" t="s">
        <v>2409</v>
      </c>
      <c r="C60" s="3" t="str">
        <f>"裕南街街道"</f>
        <v>裕南街街道</v>
      </c>
      <c r="D60" s="3" t="str">
        <f>"火把山社区"</f>
        <v>火把山社区</v>
      </c>
      <c r="E60" s="3" t="str">
        <f t="shared" si="0"/>
        <v>140</v>
      </c>
      <c r="F60" s="3" t="str">
        <f t="shared" si="23"/>
        <v>100</v>
      </c>
      <c r="G60" s="3" t="str">
        <f t="shared" si="22"/>
        <v>二级</v>
      </c>
      <c r="H60" s="4" t="str">
        <f t="shared" si="4"/>
        <v/>
      </c>
    </row>
    <row r="61" customHeight="1" spans="1:8">
      <c r="A61" s="3" t="str">
        <f>"3660"</f>
        <v>3660</v>
      </c>
      <c r="B61" s="3" t="s">
        <v>2410</v>
      </c>
      <c r="C61" s="3" t="str">
        <f t="shared" ref="C61:C65" si="24">"青园街道"</f>
        <v>青园街道</v>
      </c>
      <c r="D61" s="3" t="str">
        <f>"青园社区"</f>
        <v>青园社区</v>
      </c>
      <c r="E61" s="3" t="str">
        <f t="shared" si="0"/>
        <v>140</v>
      </c>
      <c r="F61" s="3" t="str">
        <f t="shared" si="23"/>
        <v>100</v>
      </c>
      <c r="G61" s="3" t="str">
        <f>"一级"</f>
        <v>一级</v>
      </c>
      <c r="H61" s="4" t="str">
        <f t="shared" si="4"/>
        <v/>
      </c>
    </row>
    <row r="62" customHeight="1" spans="1:8">
      <c r="A62" s="3" t="str">
        <f>"3661"</f>
        <v>3661</v>
      </c>
      <c r="B62" s="3" t="s">
        <v>2244</v>
      </c>
      <c r="C62" s="3" t="str">
        <f>"坡子街街道"</f>
        <v>坡子街街道</v>
      </c>
      <c r="D62" s="3" t="str">
        <f>"青山祠社区"</f>
        <v>青山祠社区</v>
      </c>
      <c r="E62" s="3" t="str">
        <f t="shared" si="0"/>
        <v>140</v>
      </c>
      <c r="F62" s="3" t="str">
        <f t="shared" si="23"/>
        <v>100</v>
      </c>
      <c r="G62" s="3" t="str">
        <f t="shared" ref="G62:G65" si="25">"二级"</f>
        <v>二级</v>
      </c>
      <c r="H62" s="4" t="str">
        <f t="shared" si="4"/>
        <v/>
      </c>
    </row>
    <row r="63" customHeight="1" spans="1:8">
      <c r="A63" s="3" t="str">
        <f>"3662"</f>
        <v>3662</v>
      </c>
      <c r="B63" s="3" t="s">
        <v>509</v>
      </c>
      <c r="C63" s="3" t="str">
        <f>"金盆岭街道"</f>
        <v>金盆岭街道</v>
      </c>
      <c r="D63" s="3" t="str">
        <f>"天剑社区"</f>
        <v>天剑社区</v>
      </c>
      <c r="E63" s="3" t="str">
        <f t="shared" si="0"/>
        <v>140</v>
      </c>
      <c r="F63" s="3" t="str">
        <f>"0"</f>
        <v>0</v>
      </c>
      <c r="G63" s="3" t="str">
        <f>"四级"</f>
        <v>四级</v>
      </c>
      <c r="H63" s="4" t="str">
        <f t="shared" si="4"/>
        <v/>
      </c>
    </row>
    <row r="64" customHeight="1" spans="1:8">
      <c r="A64" s="3" t="str">
        <f>"3663"</f>
        <v>3663</v>
      </c>
      <c r="B64" s="3" t="s">
        <v>2411</v>
      </c>
      <c r="C64" s="3" t="str">
        <f t="shared" si="24"/>
        <v>青园街道</v>
      </c>
      <c r="D64" s="3" t="str">
        <f>"友谊社区"</f>
        <v>友谊社区</v>
      </c>
      <c r="E64" s="3" t="str">
        <f t="shared" si="0"/>
        <v>140</v>
      </c>
      <c r="F64" s="3" t="str">
        <f t="shared" ref="F64:F69" si="26">"100"</f>
        <v>100</v>
      </c>
      <c r="G64" s="3" t="str">
        <f t="shared" si="25"/>
        <v>二级</v>
      </c>
      <c r="H64" s="4" t="str">
        <f t="shared" si="4"/>
        <v/>
      </c>
    </row>
    <row r="65" customHeight="1" spans="1:8">
      <c r="A65" s="3" t="str">
        <f>"3664"</f>
        <v>3664</v>
      </c>
      <c r="B65" s="3" t="s">
        <v>266</v>
      </c>
      <c r="C65" s="3" t="str">
        <f t="shared" si="24"/>
        <v>青园街道</v>
      </c>
      <c r="D65" s="3" t="str">
        <f>"友谊社区"</f>
        <v>友谊社区</v>
      </c>
      <c r="E65" s="3" t="str">
        <f t="shared" si="0"/>
        <v>140</v>
      </c>
      <c r="F65" s="3" t="str">
        <f t="shared" si="26"/>
        <v>100</v>
      </c>
      <c r="G65" s="3" t="str">
        <f t="shared" si="25"/>
        <v>二级</v>
      </c>
      <c r="H65" s="4" t="str">
        <f t="shared" si="4"/>
        <v/>
      </c>
    </row>
    <row r="66" customHeight="1" spans="1:8">
      <c r="A66" s="3" t="str">
        <f>"3665"</f>
        <v>3665</v>
      </c>
      <c r="B66" s="3" t="s">
        <v>2412</v>
      </c>
      <c r="C66" s="3" t="str">
        <f>"裕南街街道"</f>
        <v>裕南街街道</v>
      </c>
      <c r="D66" s="3" t="str">
        <f>"仰天湖社区"</f>
        <v>仰天湖社区</v>
      </c>
      <c r="E66" s="3" t="str">
        <f t="shared" ref="E66:E129" si="27">"140"</f>
        <v>140</v>
      </c>
      <c r="F66" s="3" t="str">
        <f t="shared" si="26"/>
        <v>100</v>
      </c>
      <c r="G66" s="3" t="str">
        <f>"一级"</f>
        <v>一级</v>
      </c>
      <c r="H66" s="4" t="str">
        <f t="shared" ref="H66:H129" si="28">""</f>
        <v/>
      </c>
    </row>
    <row r="67" customHeight="1" spans="1:8">
      <c r="A67" s="3" t="str">
        <f>"3666"</f>
        <v>3666</v>
      </c>
      <c r="B67" s="3" t="s">
        <v>2413</v>
      </c>
      <c r="C67" s="3" t="str">
        <f>"裕南街街道"</f>
        <v>裕南街街道</v>
      </c>
      <c r="D67" s="3" t="str">
        <f>"向东南社区"</f>
        <v>向东南社区</v>
      </c>
      <c r="E67" s="3" t="str">
        <f t="shared" si="27"/>
        <v>140</v>
      </c>
      <c r="F67" s="3" t="str">
        <f t="shared" si="26"/>
        <v>100</v>
      </c>
      <c r="G67" s="3" t="str">
        <f t="shared" ref="G67:G69" si="29">"二级"</f>
        <v>二级</v>
      </c>
      <c r="H67" s="4" t="str">
        <f t="shared" si="28"/>
        <v/>
      </c>
    </row>
    <row r="68" customHeight="1" spans="1:8">
      <c r="A68" s="3" t="str">
        <f>"3667"</f>
        <v>3667</v>
      </c>
      <c r="B68" s="3" t="s">
        <v>2414</v>
      </c>
      <c r="C68" s="3" t="str">
        <f t="shared" ref="C68:C73" si="30">"坡子街街道"</f>
        <v>坡子街街道</v>
      </c>
      <c r="D68" s="3" t="str">
        <f>"楚湘社区"</f>
        <v>楚湘社区</v>
      </c>
      <c r="E68" s="3" t="str">
        <f t="shared" si="27"/>
        <v>140</v>
      </c>
      <c r="F68" s="3" t="str">
        <f t="shared" si="26"/>
        <v>100</v>
      </c>
      <c r="G68" s="3" t="str">
        <f t="shared" si="29"/>
        <v>二级</v>
      </c>
      <c r="H68" s="4" t="str">
        <f t="shared" si="28"/>
        <v/>
      </c>
    </row>
    <row r="69" customHeight="1" spans="1:8">
      <c r="A69" s="3" t="str">
        <f>"3668"</f>
        <v>3668</v>
      </c>
      <c r="B69" s="3" t="s">
        <v>2415</v>
      </c>
      <c r="C69" s="3" t="str">
        <f t="shared" ref="C69:C71" si="31">"金盆岭街道"</f>
        <v>金盆岭街道</v>
      </c>
      <c r="D69" s="3" t="str">
        <f>"黄土岭社区"</f>
        <v>黄土岭社区</v>
      </c>
      <c r="E69" s="3" t="str">
        <f t="shared" si="27"/>
        <v>140</v>
      </c>
      <c r="F69" s="3" t="str">
        <f t="shared" si="26"/>
        <v>100</v>
      </c>
      <c r="G69" s="3" t="str">
        <f t="shared" si="29"/>
        <v>二级</v>
      </c>
      <c r="H69" s="4" t="str">
        <f t="shared" si="28"/>
        <v/>
      </c>
    </row>
    <row r="70" customHeight="1" spans="1:8">
      <c r="A70" s="3" t="str">
        <f>"3669"</f>
        <v>3669</v>
      </c>
      <c r="B70" s="3" t="s">
        <v>2416</v>
      </c>
      <c r="C70" s="3" t="str">
        <f t="shared" si="31"/>
        <v>金盆岭街道</v>
      </c>
      <c r="D70" s="3" t="str">
        <f>"黄土岭社区"</f>
        <v>黄土岭社区</v>
      </c>
      <c r="E70" s="3" t="str">
        <f t="shared" si="27"/>
        <v>140</v>
      </c>
      <c r="F70" s="3" t="str">
        <f>"0"</f>
        <v>0</v>
      </c>
      <c r="G70" s="3" t="str">
        <f>"四级"</f>
        <v>四级</v>
      </c>
      <c r="H70" s="4" t="str">
        <f t="shared" si="28"/>
        <v/>
      </c>
    </row>
    <row r="71" customHeight="1" spans="1:8">
      <c r="A71" s="3" t="str">
        <f>"3670"</f>
        <v>3670</v>
      </c>
      <c r="B71" s="3" t="s">
        <v>2417</v>
      </c>
      <c r="C71" s="3" t="str">
        <f t="shared" si="31"/>
        <v>金盆岭街道</v>
      </c>
      <c r="D71" s="3" t="str">
        <f>"天剑社区"</f>
        <v>天剑社区</v>
      </c>
      <c r="E71" s="3" t="str">
        <f t="shared" si="27"/>
        <v>140</v>
      </c>
      <c r="F71" s="3" t="str">
        <f t="shared" ref="F71:F76" si="32">"100"</f>
        <v>100</v>
      </c>
      <c r="G71" s="3" t="str">
        <f t="shared" ref="G71:G74" si="33">"二级"</f>
        <v>二级</v>
      </c>
      <c r="H71" s="4" t="str">
        <f t="shared" si="28"/>
        <v/>
      </c>
    </row>
    <row r="72" customHeight="1" spans="1:8">
      <c r="A72" s="3" t="str">
        <f>"3671"</f>
        <v>3671</v>
      </c>
      <c r="B72" s="3" t="s">
        <v>2418</v>
      </c>
      <c r="C72" s="3" t="str">
        <f t="shared" si="30"/>
        <v>坡子街街道</v>
      </c>
      <c r="D72" s="3" t="str">
        <f>"登仁桥社区"</f>
        <v>登仁桥社区</v>
      </c>
      <c r="E72" s="3" t="str">
        <f t="shared" si="27"/>
        <v>140</v>
      </c>
      <c r="F72" s="3" t="str">
        <f t="shared" si="32"/>
        <v>100</v>
      </c>
      <c r="G72" s="3" t="str">
        <f t="shared" si="33"/>
        <v>二级</v>
      </c>
      <c r="H72" s="4" t="str">
        <f t="shared" si="28"/>
        <v/>
      </c>
    </row>
    <row r="73" customHeight="1" spans="1:8">
      <c r="A73" s="3" t="str">
        <f>"3672"</f>
        <v>3672</v>
      </c>
      <c r="B73" s="3" t="s">
        <v>39</v>
      </c>
      <c r="C73" s="3" t="str">
        <f t="shared" si="30"/>
        <v>坡子街街道</v>
      </c>
      <c r="D73" s="3" t="str">
        <f>"登仁桥社区"</f>
        <v>登仁桥社区</v>
      </c>
      <c r="E73" s="3" t="str">
        <f t="shared" si="27"/>
        <v>140</v>
      </c>
      <c r="F73" s="3" t="str">
        <f t="shared" si="32"/>
        <v>100</v>
      </c>
      <c r="G73" s="3" t="str">
        <f>"一级"</f>
        <v>一级</v>
      </c>
      <c r="H73" s="4" t="str">
        <f t="shared" si="28"/>
        <v/>
      </c>
    </row>
    <row r="74" customHeight="1" spans="1:8">
      <c r="A74" s="3" t="str">
        <f>"3673"</f>
        <v>3673</v>
      </c>
      <c r="B74" s="3" t="s">
        <v>2419</v>
      </c>
      <c r="C74" s="3" t="str">
        <f>"南托街道"</f>
        <v>南托街道</v>
      </c>
      <c r="D74" s="3" t="str">
        <f>"沿江村"</f>
        <v>沿江村</v>
      </c>
      <c r="E74" s="3" t="str">
        <f t="shared" si="27"/>
        <v>140</v>
      </c>
      <c r="F74" s="3" t="str">
        <f t="shared" si="32"/>
        <v>100</v>
      </c>
      <c r="G74" s="3" t="str">
        <f t="shared" si="33"/>
        <v>二级</v>
      </c>
      <c r="H74" s="4" t="str">
        <f t="shared" si="28"/>
        <v/>
      </c>
    </row>
    <row r="75" customHeight="1" spans="1:8">
      <c r="A75" s="3" t="str">
        <f>"3674"</f>
        <v>3674</v>
      </c>
      <c r="B75" s="3" t="s">
        <v>2420</v>
      </c>
      <c r="C75" s="3" t="str">
        <f>"城南路街道"</f>
        <v>城南路街道</v>
      </c>
      <c r="D75" s="3" t="str">
        <f>"古道巷社区"</f>
        <v>古道巷社区</v>
      </c>
      <c r="E75" s="3" t="str">
        <f t="shared" si="27"/>
        <v>140</v>
      </c>
      <c r="F75" s="3" t="str">
        <f t="shared" si="32"/>
        <v>100</v>
      </c>
      <c r="G75" s="3" t="str">
        <f>"一级"</f>
        <v>一级</v>
      </c>
      <c r="H75" s="4" t="str">
        <f t="shared" si="28"/>
        <v/>
      </c>
    </row>
    <row r="76" customHeight="1" spans="1:8">
      <c r="A76" s="3" t="str">
        <f>"3675"</f>
        <v>3675</v>
      </c>
      <c r="B76" s="3" t="s">
        <v>2421</v>
      </c>
      <c r="C76" s="3" t="str">
        <f>"城南路街道"</f>
        <v>城南路街道</v>
      </c>
      <c r="D76" s="3" t="str">
        <f>"白沙井社区"</f>
        <v>白沙井社区</v>
      </c>
      <c r="E76" s="3" t="str">
        <f t="shared" si="27"/>
        <v>140</v>
      </c>
      <c r="F76" s="3" t="str">
        <f t="shared" si="32"/>
        <v>100</v>
      </c>
      <c r="G76" s="3" t="str">
        <f t="shared" ref="G76:G82" si="34">"二级"</f>
        <v>二级</v>
      </c>
      <c r="H76" s="4" t="str">
        <f t="shared" si="28"/>
        <v/>
      </c>
    </row>
    <row r="77" customHeight="1" spans="1:8">
      <c r="A77" s="3" t="str">
        <f>"3676"</f>
        <v>3676</v>
      </c>
      <c r="B77" s="3" t="s">
        <v>32</v>
      </c>
      <c r="C77" s="3" t="str">
        <f t="shared" ref="C77:C80" si="35">"坡子街街道"</f>
        <v>坡子街街道</v>
      </c>
      <c r="D77" s="3" t="str">
        <f t="shared" ref="D77:D80" si="36">"创远社区"</f>
        <v>创远社区</v>
      </c>
      <c r="E77" s="3" t="str">
        <f t="shared" si="27"/>
        <v>140</v>
      </c>
      <c r="F77" s="3" t="str">
        <f>"0"</f>
        <v>0</v>
      </c>
      <c r="G77" s="3" t="str">
        <f>"三级"</f>
        <v>三级</v>
      </c>
      <c r="H77" s="4" t="str">
        <f t="shared" si="28"/>
        <v/>
      </c>
    </row>
    <row r="78" customHeight="1" spans="1:8">
      <c r="A78" s="3" t="str">
        <f>"3677"</f>
        <v>3677</v>
      </c>
      <c r="B78" s="3" t="s">
        <v>2422</v>
      </c>
      <c r="C78" s="3" t="str">
        <f t="shared" si="35"/>
        <v>坡子街街道</v>
      </c>
      <c r="D78" s="3" t="str">
        <f t="shared" si="36"/>
        <v>创远社区</v>
      </c>
      <c r="E78" s="3" t="str">
        <f t="shared" si="27"/>
        <v>140</v>
      </c>
      <c r="F78" s="3" t="str">
        <f t="shared" ref="F78:F82" si="37">"100"</f>
        <v>100</v>
      </c>
      <c r="G78" s="3" t="str">
        <f t="shared" si="34"/>
        <v>二级</v>
      </c>
      <c r="H78" s="4" t="str">
        <f t="shared" si="28"/>
        <v/>
      </c>
    </row>
    <row r="79" customHeight="1" spans="1:8">
      <c r="A79" s="3" t="str">
        <f>"3678"</f>
        <v>3678</v>
      </c>
      <c r="B79" s="3" t="s">
        <v>563</v>
      </c>
      <c r="C79" s="3" t="str">
        <f t="shared" si="35"/>
        <v>坡子街街道</v>
      </c>
      <c r="D79" s="3" t="str">
        <f t="shared" si="36"/>
        <v>创远社区</v>
      </c>
      <c r="E79" s="3" t="str">
        <f t="shared" si="27"/>
        <v>140</v>
      </c>
      <c r="F79" s="3" t="str">
        <f t="shared" si="37"/>
        <v>100</v>
      </c>
      <c r="G79" s="3" t="str">
        <f>"一级"</f>
        <v>一级</v>
      </c>
      <c r="H79" s="4" t="str">
        <f t="shared" si="28"/>
        <v/>
      </c>
    </row>
    <row r="80" customHeight="1" spans="1:8">
      <c r="A80" s="3" t="str">
        <f>"3679"</f>
        <v>3679</v>
      </c>
      <c r="B80" s="3" t="s">
        <v>2423</v>
      </c>
      <c r="C80" s="3" t="str">
        <f t="shared" si="35"/>
        <v>坡子街街道</v>
      </c>
      <c r="D80" s="3" t="str">
        <f t="shared" si="36"/>
        <v>创远社区</v>
      </c>
      <c r="E80" s="3" t="str">
        <f t="shared" si="27"/>
        <v>140</v>
      </c>
      <c r="F80" s="3" t="str">
        <f t="shared" si="37"/>
        <v>100</v>
      </c>
      <c r="G80" s="3" t="str">
        <f t="shared" si="34"/>
        <v>二级</v>
      </c>
      <c r="H80" s="4" t="str">
        <f t="shared" si="28"/>
        <v/>
      </c>
    </row>
    <row r="81" customHeight="1" spans="1:8">
      <c r="A81" s="3" t="str">
        <f>"3680"</f>
        <v>3680</v>
      </c>
      <c r="B81" s="3" t="s">
        <v>2424</v>
      </c>
      <c r="C81" s="3" t="str">
        <f>"新开铺街道"</f>
        <v>新开铺街道</v>
      </c>
      <c r="D81" s="3" t="str">
        <f>"桥头社区"</f>
        <v>桥头社区</v>
      </c>
      <c r="E81" s="3" t="str">
        <f t="shared" si="27"/>
        <v>140</v>
      </c>
      <c r="F81" s="3" t="str">
        <f t="shared" si="37"/>
        <v>100</v>
      </c>
      <c r="G81" s="3" t="str">
        <f t="shared" si="34"/>
        <v>二级</v>
      </c>
      <c r="H81" s="4" t="str">
        <f t="shared" si="28"/>
        <v/>
      </c>
    </row>
    <row r="82" customHeight="1" spans="1:8">
      <c r="A82" s="3" t="str">
        <f>"3681"</f>
        <v>3681</v>
      </c>
      <c r="B82" s="3" t="s">
        <v>139</v>
      </c>
      <c r="C82" s="3" t="str">
        <f>"裕南街街道"</f>
        <v>裕南街街道</v>
      </c>
      <c r="D82" s="3" t="str">
        <f>"东瓜山社区"</f>
        <v>东瓜山社区</v>
      </c>
      <c r="E82" s="3" t="str">
        <f t="shared" si="27"/>
        <v>140</v>
      </c>
      <c r="F82" s="3" t="str">
        <f t="shared" si="37"/>
        <v>100</v>
      </c>
      <c r="G82" s="3" t="str">
        <f t="shared" si="34"/>
        <v>二级</v>
      </c>
      <c r="H82" s="4" t="str">
        <f t="shared" si="28"/>
        <v/>
      </c>
    </row>
    <row r="83" customHeight="1" spans="1:8">
      <c r="A83" s="3" t="str">
        <f>"3682"</f>
        <v>3682</v>
      </c>
      <c r="B83" s="3" t="s">
        <v>125</v>
      </c>
      <c r="C83" s="3" t="str">
        <f t="shared" ref="C83:C88" si="38">"坡子街街道"</f>
        <v>坡子街街道</v>
      </c>
      <c r="D83" s="3" t="str">
        <f>"碧湘社区"</f>
        <v>碧湘社区</v>
      </c>
      <c r="E83" s="3" t="str">
        <f t="shared" si="27"/>
        <v>140</v>
      </c>
      <c r="F83" s="3" t="str">
        <f>"0"</f>
        <v>0</v>
      </c>
      <c r="G83" s="3" t="str">
        <f>"三级"</f>
        <v>三级</v>
      </c>
      <c r="H83" s="4" t="str">
        <f t="shared" si="28"/>
        <v/>
      </c>
    </row>
    <row r="84" customHeight="1" spans="1:8">
      <c r="A84" s="3" t="str">
        <f>"3683"</f>
        <v>3683</v>
      </c>
      <c r="B84" s="3" t="s">
        <v>986</v>
      </c>
      <c r="C84" s="3" t="str">
        <f t="shared" si="38"/>
        <v>坡子街街道</v>
      </c>
      <c r="D84" s="3" t="str">
        <f>"文庙坪社区"</f>
        <v>文庙坪社区</v>
      </c>
      <c r="E84" s="3" t="str">
        <f t="shared" si="27"/>
        <v>140</v>
      </c>
      <c r="F84" s="3" t="str">
        <f t="shared" ref="F84:F92" si="39">"100"</f>
        <v>100</v>
      </c>
      <c r="G84" s="3" t="str">
        <f t="shared" ref="G84:G89" si="40">"二级"</f>
        <v>二级</v>
      </c>
      <c r="H84" s="4" t="str">
        <f t="shared" si="28"/>
        <v/>
      </c>
    </row>
    <row r="85" customHeight="1" spans="1:8">
      <c r="A85" s="3" t="str">
        <f>"3684"</f>
        <v>3684</v>
      </c>
      <c r="B85" s="3" t="s">
        <v>2425</v>
      </c>
      <c r="C85" s="3" t="str">
        <f>"南托街道"</f>
        <v>南托街道</v>
      </c>
      <c r="D85" s="3" t="str">
        <f>"融城社区"</f>
        <v>融城社区</v>
      </c>
      <c r="E85" s="3" t="str">
        <f t="shared" si="27"/>
        <v>140</v>
      </c>
      <c r="F85" s="3" t="str">
        <f t="shared" si="39"/>
        <v>100</v>
      </c>
      <c r="G85" s="3" t="str">
        <f t="shared" ref="G85:G92" si="41">"一级"</f>
        <v>一级</v>
      </c>
      <c r="H85" s="4" t="str">
        <f t="shared" si="28"/>
        <v/>
      </c>
    </row>
    <row r="86" customHeight="1" spans="1:8">
      <c r="A86" s="3" t="str">
        <f>"3685"</f>
        <v>3685</v>
      </c>
      <c r="B86" s="3" t="s">
        <v>80</v>
      </c>
      <c r="C86" s="3" t="str">
        <f>"金盆岭街道"</f>
        <v>金盆岭街道</v>
      </c>
      <c r="D86" s="3" t="str">
        <f>"夏家冲社区"</f>
        <v>夏家冲社区</v>
      </c>
      <c r="E86" s="3" t="str">
        <f t="shared" si="27"/>
        <v>140</v>
      </c>
      <c r="F86" s="3" t="str">
        <f t="shared" si="39"/>
        <v>100</v>
      </c>
      <c r="G86" s="3" t="str">
        <f t="shared" si="41"/>
        <v>一级</v>
      </c>
      <c r="H86" s="4" t="str">
        <f t="shared" si="28"/>
        <v/>
      </c>
    </row>
    <row r="87" customHeight="1" spans="1:8">
      <c r="A87" s="3" t="str">
        <f>"3686"</f>
        <v>3686</v>
      </c>
      <c r="B87" s="3" t="s">
        <v>141</v>
      </c>
      <c r="C87" s="3" t="str">
        <f>"暮云街道"</f>
        <v>暮云街道</v>
      </c>
      <c r="D87" s="3" t="str">
        <f>"云塘社区"</f>
        <v>云塘社区</v>
      </c>
      <c r="E87" s="3" t="str">
        <f t="shared" si="27"/>
        <v>140</v>
      </c>
      <c r="F87" s="3" t="str">
        <f t="shared" si="39"/>
        <v>100</v>
      </c>
      <c r="G87" s="3" t="str">
        <f t="shared" si="40"/>
        <v>二级</v>
      </c>
      <c r="H87" s="4" t="str">
        <f t="shared" si="28"/>
        <v/>
      </c>
    </row>
    <row r="88" customHeight="1" spans="1:8">
      <c r="A88" s="3" t="str">
        <f>"3687"</f>
        <v>3687</v>
      </c>
      <c r="B88" s="3" t="s">
        <v>146</v>
      </c>
      <c r="C88" s="3" t="str">
        <f t="shared" si="38"/>
        <v>坡子街街道</v>
      </c>
      <c r="D88" s="3" t="str">
        <f>"坡子街社区"</f>
        <v>坡子街社区</v>
      </c>
      <c r="E88" s="3" t="str">
        <f t="shared" si="27"/>
        <v>140</v>
      </c>
      <c r="F88" s="3" t="str">
        <f t="shared" si="39"/>
        <v>100</v>
      </c>
      <c r="G88" s="3" t="str">
        <f t="shared" si="40"/>
        <v>二级</v>
      </c>
      <c r="H88" s="4" t="str">
        <f t="shared" si="28"/>
        <v/>
      </c>
    </row>
    <row r="89" customHeight="1" spans="1:8">
      <c r="A89" s="3" t="str">
        <f>"3688"</f>
        <v>3688</v>
      </c>
      <c r="B89" s="3" t="s">
        <v>2426</v>
      </c>
      <c r="C89" s="3" t="str">
        <f>"大托铺街道"</f>
        <v>大托铺街道</v>
      </c>
      <c r="D89" s="3" t="str">
        <f>"兴隆村委会"</f>
        <v>兴隆村委会</v>
      </c>
      <c r="E89" s="3" t="str">
        <f t="shared" si="27"/>
        <v>140</v>
      </c>
      <c r="F89" s="3" t="str">
        <f t="shared" si="39"/>
        <v>100</v>
      </c>
      <c r="G89" s="3" t="str">
        <f t="shared" si="40"/>
        <v>二级</v>
      </c>
      <c r="H89" s="4" t="str">
        <f t="shared" si="28"/>
        <v/>
      </c>
    </row>
    <row r="90" customHeight="1" spans="1:8">
      <c r="A90" s="3" t="str">
        <f>"3689"</f>
        <v>3689</v>
      </c>
      <c r="B90" s="3" t="s">
        <v>372</v>
      </c>
      <c r="C90" s="3" t="str">
        <f>"先锋街道"</f>
        <v>先锋街道</v>
      </c>
      <c r="D90" s="3" t="str">
        <f>"嘉和社区"</f>
        <v>嘉和社区</v>
      </c>
      <c r="E90" s="3" t="str">
        <f t="shared" si="27"/>
        <v>140</v>
      </c>
      <c r="F90" s="3" t="str">
        <f t="shared" si="39"/>
        <v>100</v>
      </c>
      <c r="G90" s="3" t="str">
        <f t="shared" si="41"/>
        <v>一级</v>
      </c>
      <c r="H90" s="4" t="str">
        <f t="shared" si="28"/>
        <v/>
      </c>
    </row>
    <row r="91" customHeight="1" spans="1:8">
      <c r="A91" s="3" t="str">
        <f>"3690"</f>
        <v>3690</v>
      </c>
      <c r="B91" s="3" t="s">
        <v>2427</v>
      </c>
      <c r="C91" s="3" t="str">
        <f t="shared" ref="C91:C97" si="42">"裕南街街道"</f>
        <v>裕南街街道</v>
      </c>
      <c r="D91" s="3" t="str">
        <f>"火把山社区"</f>
        <v>火把山社区</v>
      </c>
      <c r="E91" s="3" t="str">
        <f t="shared" si="27"/>
        <v>140</v>
      </c>
      <c r="F91" s="3" t="str">
        <f t="shared" si="39"/>
        <v>100</v>
      </c>
      <c r="G91" s="3" t="str">
        <f t="shared" si="41"/>
        <v>一级</v>
      </c>
      <c r="H91" s="4" t="str">
        <f t="shared" si="28"/>
        <v/>
      </c>
    </row>
    <row r="92" customHeight="1" spans="1:8">
      <c r="A92" s="3" t="str">
        <f>"3691"</f>
        <v>3691</v>
      </c>
      <c r="B92" s="3" t="s">
        <v>2428</v>
      </c>
      <c r="C92" s="3" t="str">
        <f t="shared" si="42"/>
        <v>裕南街街道</v>
      </c>
      <c r="D92" s="3" t="str">
        <f>"火把山社区"</f>
        <v>火把山社区</v>
      </c>
      <c r="E92" s="3" t="str">
        <f t="shared" si="27"/>
        <v>140</v>
      </c>
      <c r="F92" s="3" t="str">
        <f t="shared" si="39"/>
        <v>100</v>
      </c>
      <c r="G92" s="3" t="str">
        <f t="shared" si="41"/>
        <v>一级</v>
      </c>
      <c r="H92" s="4" t="str">
        <f t="shared" si="28"/>
        <v/>
      </c>
    </row>
    <row r="93" customHeight="1" spans="1:8">
      <c r="A93" s="3" t="str">
        <f>"3692"</f>
        <v>3692</v>
      </c>
      <c r="B93" s="3" t="s">
        <v>27</v>
      </c>
      <c r="C93" s="3" t="str">
        <f>"城南路街道"</f>
        <v>城南路街道</v>
      </c>
      <c r="D93" s="3" t="str">
        <f>"吴家坪社区"</f>
        <v>吴家坪社区</v>
      </c>
      <c r="E93" s="3" t="str">
        <f t="shared" si="27"/>
        <v>140</v>
      </c>
      <c r="F93" s="3" t="str">
        <f>"0"</f>
        <v>0</v>
      </c>
      <c r="G93" s="3" t="str">
        <f>"四级"</f>
        <v>四级</v>
      </c>
      <c r="H93" s="4" t="str">
        <f t="shared" si="28"/>
        <v/>
      </c>
    </row>
    <row r="94" customHeight="1" spans="1:8">
      <c r="A94" s="3" t="str">
        <f>"3693"</f>
        <v>3693</v>
      </c>
      <c r="B94" s="3" t="s">
        <v>32</v>
      </c>
      <c r="C94" s="3" t="str">
        <f>"金盆岭街道"</f>
        <v>金盆岭街道</v>
      </c>
      <c r="D94" s="3" t="str">
        <f>"狮子山社区"</f>
        <v>狮子山社区</v>
      </c>
      <c r="E94" s="3" t="str">
        <f t="shared" si="27"/>
        <v>140</v>
      </c>
      <c r="F94" s="3" t="str">
        <f>"0"</f>
        <v>0</v>
      </c>
      <c r="G94" s="3" t="str">
        <f>"三级"</f>
        <v>三级</v>
      </c>
      <c r="H94" s="4" t="str">
        <f t="shared" si="28"/>
        <v/>
      </c>
    </row>
    <row r="95" customHeight="1" spans="1:8">
      <c r="A95" s="3" t="str">
        <f>"3694"</f>
        <v>3694</v>
      </c>
      <c r="B95" s="3" t="s">
        <v>140</v>
      </c>
      <c r="C95" s="3" t="str">
        <f>"新开铺街道"</f>
        <v>新开铺街道</v>
      </c>
      <c r="D95" s="3" t="str">
        <f>"石人村委会"</f>
        <v>石人村委会</v>
      </c>
      <c r="E95" s="3" t="str">
        <f t="shared" si="27"/>
        <v>140</v>
      </c>
      <c r="F95" s="3" t="str">
        <f t="shared" ref="F95:F105" si="43">"100"</f>
        <v>100</v>
      </c>
      <c r="G95" s="3" t="str">
        <f t="shared" ref="G95:G100" si="44">"二级"</f>
        <v>二级</v>
      </c>
      <c r="H95" s="4" t="str">
        <f t="shared" si="28"/>
        <v/>
      </c>
    </row>
    <row r="96" customHeight="1" spans="1:8">
      <c r="A96" s="3" t="str">
        <f>"3695"</f>
        <v>3695</v>
      </c>
      <c r="B96" s="3" t="s">
        <v>925</v>
      </c>
      <c r="C96" s="3" t="str">
        <f t="shared" si="42"/>
        <v>裕南街街道</v>
      </c>
      <c r="D96" s="3" t="str">
        <f>"长坡社区"</f>
        <v>长坡社区</v>
      </c>
      <c r="E96" s="3" t="str">
        <f t="shared" si="27"/>
        <v>140</v>
      </c>
      <c r="F96" s="3" t="str">
        <f t="shared" si="43"/>
        <v>100</v>
      </c>
      <c r="G96" s="3" t="str">
        <f t="shared" si="44"/>
        <v>二级</v>
      </c>
      <c r="H96" s="4" t="str">
        <f t="shared" si="28"/>
        <v/>
      </c>
    </row>
    <row r="97" customHeight="1" spans="1:8">
      <c r="A97" s="3" t="str">
        <f>"3696"</f>
        <v>3696</v>
      </c>
      <c r="B97" s="3" t="s">
        <v>1789</v>
      </c>
      <c r="C97" s="3" t="str">
        <f t="shared" si="42"/>
        <v>裕南街街道</v>
      </c>
      <c r="D97" s="3" t="str">
        <f>"长坡社区"</f>
        <v>长坡社区</v>
      </c>
      <c r="E97" s="3" t="str">
        <f t="shared" si="27"/>
        <v>140</v>
      </c>
      <c r="F97" s="3" t="str">
        <f t="shared" si="43"/>
        <v>100</v>
      </c>
      <c r="G97" s="3" t="str">
        <f t="shared" si="44"/>
        <v>二级</v>
      </c>
      <c r="H97" s="4" t="str">
        <f t="shared" si="28"/>
        <v/>
      </c>
    </row>
    <row r="98" customHeight="1" spans="1:8">
      <c r="A98" s="3" t="str">
        <f>"3697"</f>
        <v>3697</v>
      </c>
      <c r="B98" s="3" t="s">
        <v>2429</v>
      </c>
      <c r="C98" s="3" t="str">
        <f>"赤岭路街道"</f>
        <v>赤岭路街道</v>
      </c>
      <c r="D98" s="3" t="str">
        <f>"书院路社区"</f>
        <v>书院路社区</v>
      </c>
      <c r="E98" s="3" t="str">
        <f t="shared" si="27"/>
        <v>140</v>
      </c>
      <c r="F98" s="3" t="str">
        <f t="shared" si="43"/>
        <v>100</v>
      </c>
      <c r="G98" s="3" t="str">
        <f t="shared" si="44"/>
        <v>二级</v>
      </c>
      <c r="H98" s="4" t="str">
        <f t="shared" si="28"/>
        <v/>
      </c>
    </row>
    <row r="99" customHeight="1" spans="1:8">
      <c r="A99" s="3" t="str">
        <f>"3698"</f>
        <v>3698</v>
      </c>
      <c r="B99" s="3" t="s">
        <v>2430</v>
      </c>
      <c r="C99" s="3" t="str">
        <f>"暮云街道"</f>
        <v>暮云街道</v>
      </c>
      <c r="D99" s="3" t="str">
        <f>"云塘社区"</f>
        <v>云塘社区</v>
      </c>
      <c r="E99" s="3" t="str">
        <f t="shared" si="27"/>
        <v>140</v>
      </c>
      <c r="F99" s="3" t="str">
        <f t="shared" si="43"/>
        <v>100</v>
      </c>
      <c r="G99" s="3" t="str">
        <f t="shared" si="44"/>
        <v>二级</v>
      </c>
      <c r="H99" s="4" t="str">
        <f t="shared" si="28"/>
        <v/>
      </c>
    </row>
    <row r="100" customHeight="1" spans="1:8">
      <c r="A100" s="3" t="str">
        <f>"3699"</f>
        <v>3699</v>
      </c>
      <c r="B100" s="3" t="s">
        <v>2431</v>
      </c>
      <c r="C100" s="3" t="str">
        <f>"赤岭路街道"</f>
        <v>赤岭路街道</v>
      </c>
      <c r="D100" s="3" t="str">
        <f>"广厦新村社区"</f>
        <v>广厦新村社区</v>
      </c>
      <c r="E100" s="3" t="str">
        <f t="shared" si="27"/>
        <v>140</v>
      </c>
      <c r="F100" s="3" t="str">
        <f t="shared" si="43"/>
        <v>100</v>
      </c>
      <c r="G100" s="3" t="str">
        <f t="shared" si="44"/>
        <v>二级</v>
      </c>
      <c r="H100" s="4" t="str">
        <f t="shared" si="28"/>
        <v/>
      </c>
    </row>
    <row r="101" customHeight="1" spans="1:8">
      <c r="A101" s="3" t="str">
        <f>"3700"</f>
        <v>3700</v>
      </c>
      <c r="B101" s="3" t="s">
        <v>2432</v>
      </c>
      <c r="C101" s="3" t="str">
        <f>"暮云街道"</f>
        <v>暮云街道</v>
      </c>
      <c r="D101" s="3" t="str">
        <f>"云塘社区"</f>
        <v>云塘社区</v>
      </c>
      <c r="E101" s="3" t="str">
        <f t="shared" si="27"/>
        <v>140</v>
      </c>
      <c r="F101" s="3" t="str">
        <f t="shared" si="43"/>
        <v>100</v>
      </c>
      <c r="G101" s="3" t="str">
        <f>"一级"</f>
        <v>一级</v>
      </c>
      <c r="H101" s="4" t="str">
        <f t="shared" si="28"/>
        <v/>
      </c>
    </row>
    <row r="102" customHeight="1" spans="1:8">
      <c r="A102" s="3" t="str">
        <f>"3701"</f>
        <v>3701</v>
      </c>
      <c r="B102" s="3" t="s">
        <v>2433</v>
      </c>
      <c r="C102" s="3" t="str">
        <f>"裕南街街道"</f>
        <v>裕南街街道</v>
      </c>
      <c r="D102" s="3" t="str">
        <f>"东瓜山社区"</f>
        <v>东瓜山社区</v>
      </c>
      <c r="E102" s="3" t="str">
        <f t="shared" si="27"/>
        <v>140</v>
      </c>
      <c r="F102" s="3" t="str">
        <f t="shared" si="43"/>
        <v>100</v>
      </c>
      <c r="G102" s="3" t="str">
        <f t="shared" ref="G102:G105" si="45">"二级"</f>
        <v>二级</v>
      </c>
      <c r="H102" s="4" t="str">
        <f t="shared" si="28"/>
        <v/>
      </c>
    </row>
    <row r="103" customHeight="1" spans="1:8">
      <c r="A103" s="3" t="str">
        <f>"3702"</f>
        <v>3702</v>
      </c>
      <c r="B103" s="3" t="s">
        <v>2434</v>
      </c>
      <c r="C103" s="3" t="str">
        <f>"坡子街街道"</f>
        <v>坡子街街道</v>
      </c>
      <c r="D103" s="3" t="str">
        <f>"文庙坪社区"</f>
        <v>文庙坪社区</v>
      </c>
      <c r="E103" s="3" t="str">
        <f t="shared" si="27"/>
        <v>140</v>
      </c>
      <c r="F103" s="3" t="str">
        <f t="shared" si="43"/>
        <v>100</v>
      </c>
      <c r="G103" s="3" t="str">
        <f t="shared" si="45"/>
        <v>二级</v>
      </c>
      <c r="H103" s="4" t="str">
        <f t="shared" si="28"/>
        <v/>
      </c>
    </row>
    <row r="104" customHeight="1" spans="1:8">
      <c r="A104" s="3" t="str">
        <f>"3703"</f>
        <v>3703</v>
      </c>
      <c r="B104" s="3" t="s">
        <v>153</v>
      </c>
      <c r="C104" s="3" t="str">
        <f>"南托街道"</f>
        <v>南托街道</v>
      </c>
      <c r="D104" s="3" t="str">
        <f>"融城社区"</f>
        <v>融城社区</v>
      </c>
      <c r="E104" s="3" t="str">
        <f t="shared" si="27"/>
        <v>140</v>
      </c>
      <c r="F104" s="3" t="str">
        <f t="shared" si="43"/>
        <v>100</v>
      </c>
      <c r="G104" s="3" t="str">
        <f t="shared" si="45"/>
        <v>二级</v>
      </c>
      <c r="H104" s="4" t="str">
        <f t="shared" si="28"/>
        <v/>
      </c>
    </row>
    <row r="105" customHeight="1" spans="1:8">
      <c r="A105" s="3" t="str">
        <f>"3704"</f>
        <v>3704</v>
      </c>
      <c r="B105" s="3" t="s">
        <v>126</v>
      </c>
      <c r="C105" s="3" t="str">
        <f>"城南路街道"</f>
        <v>城南路街道</v>
      </c>
      <c r="D105" s="3" t="str">
        <f>"燕子岭社区"</f>
        <v>燕子岭社区</v>
      </c>
      <c r="E105" s="3" t="str">
        <f t="shared" si="27"/>
        <v>140</v>
      </c>
      <c r="F105" s="3" t="str">
        <f t="shared" si="43"/>
        <v>100</v>
      </c>
      <c r="G105" s="3" t="str">
        <f t="shared" si="45"/>
        <v>二级</v>
      </c>
      <c r="H105" s="4" t="str">
        <f t="shared" si="28"/>
        <v/>
      </c>
    </row>
    <row r="106" customHeight="1" spans="1:8">
      <c r="A106" s="3" t="str">
        <f>"3705"</f>
        <v>3705</v>
      </c>
      <c r="B106" s="3" t="s">
        <v>2435</v>
      </c>
      <c r="C106" s="3" t="str">
        <f>"金盆岭街道"</f>
        <v>金盆岭街道</v>
      </c>
      <c r="D106" s="3" t="str">
        <f>"赤岭路社区"</f>
        <v>赤岭路社区</v>
      </c>
      <c r="E106" s="3" t="str">
        <f t="shared" si="27"/>
        <v>140</v>
      </c>
      <c r="F106" s="3" t="str">
        <f>"0"</f>
        <v>0</v>
      </c>
      <c r="G106" s="3" t="str">
        <f>"四级"</f>
        <v>四级</v>
      </c>
      <c r="H106" s="4" t="str">
        <f t="shared" si="28"/>
        <v/>
      </c>
    </row>
    <row r="107" customHeight="1" spans="1:8">
      <c r="A107" s="3" t="str">
        <f>"3706"</f>
        <v>3706</v>
      </c>
      <c r="B107" s="3" t="s">
        <v>2436</v>
      </c>
      <c r="C107" s="3" t="str">
        <f>"桂花坪街道"</f>
        <v>桂花坪街道</v>
      </c>
      <c r="D107" s="3" t="str">
        <f>"银桂苑社区"</f>
        <v>银桂苑社区</v>
      </c>
      <c r="E107" s="3" t="str">
        <f t="shared" si="27"/>
        <v>140</v>
      </c>
      <c r="F107" s="3" t="str">
        <f t="shared" ref="F107:F114" si="46">"100"</f>
        <v>100</v>
      </c>
      <c r="G107" s="3" t="str">
        <f t="shared" ref="G107:G111" si="47">"二级"</f>
        <v>二级</v>
      </c>
      <c r="H107" s="4" t="str">
        <f t="shared" si="28"/>
        <v/>
      </c>
    </row>
    <row r="108" customHeight="1" spans="1:8">
      <c r="A108" s="3" t="str">
        <f>"3707"</f>
        <v>3707</v>
      </c>
      <c r="B108" s="3" t="s">
        <v>125</v>
      </c>
      <c r="C108" s="3" t="str">
        <f>"赤岭路街道"</f>
        <v>赤岭路街道</v>
      </c>
      <c r="D108" s="3" t="str">
        <f>"南大桥社区"</f>
        <v>南大桥社区</v>
      </c>
      <c r="E108" s="3" t="str">
        <f t="shared" si="27"/>
        <v>140</v>
      </c>
      <c r="F108" s="3" t="str">
        <f t="shared" si="46"/>
        <v>100</v>
      </c>
      <c r="G108" s="3" t="str">
        <f t="shared" si="47"/>
        <v>二级</v>
      </c>
      <c r="H108" s="4" t="str">
        <f t="shared" si="28"/>
        <v/>
      </c>
    </row>
    <row r="109" customHeight="1" spans="1:8">
      <c r="A109" s="3" t="str">
        <f>"3708"</f>
        <v>3708</v>
      </c>
      <c r="B109" s="3" t="s">
        <v>2437</v>
      </c>
      <c r="C109" s="3" t="str">
        <f>"城南路街道"</f>
        <v>城南路街道</v>
      </c>
      <c r="D109" s="3" t="str">
        <f>"古道巷社区"</f>
        <v>古道巷社区</v>
      </c>
      <c r="E109" s="3" t="str">
        <f t="shared" si="27"/>
        <v>140</v>
      </c>
      <c r="F109" s="3" t="str">
        <f t="shared" si="46"/>
        <v>100</v>
      </c>
      <c r="G109" s="3" t="str">
        <f>"一级"</f>
        <v>一级</v>
      </c>
      <c r="H109" s="4" t="str">
        <f t="shared" si="28"/>
        <v/>
      </c>
    </row>
    <row r="110" customHeight="1" spans="1:8">
      <c r="A110" s="3" t="str">
        <f>"3709"</f>
        <v>3709</v>
      </c>
      <c r="B110" s="3" t="s">
        <v>2438</v>
      </c>
      <c r="C110" s="3" t="str">
        <f t="shared" ref="C110:C113" si="48">"坡子街街道"</f>
        <v>坡子街街道</v>
      </c>
      <c r="D110" s="3" t="str">
        <f>"登仁桥社区"</f>
        <v>登仁桥社区</v>
      </c>
      <c r="E110" s="3" t="str">
        <f t="shared" si="27"/>
        <v>140</v>
      </c>
      <c r="F110" s="3" t="str">
        <f t="shared" si="46"/>
        <v>100</v>
      </c>
      <c r="G110" s="3" t="str">
        <f t="shared" si="47"/>
        <v>二级</v>
      </c>
      <c r="H110" s="4" t="str">
        <f t="shared" si="28"/>
        <v/>
      </c>
    </row>
    <row r="111" customHeight="1" spans="1:8">
      <c r="A111" s="3" t="str">
        <f>"3710"</f>
        <v>3710</v>
      </c>
      <c r="B111" s="3" t="s">
        <v>418</v>
      </c>
      <c r="C111" s="3" t="str">
        <f t="shared" si="48"/>
        <v>坡子街街道</v>
      </c>
      <c r="D111" s="3" t="str">
        <f>"创远社区"</f>
        <v>创远社区</v>
      </c>
      <c r="E111" s="3" t="str">
        <f t="shared" si="27"/>
        <v>140</v>
      </c>
      <c r="F111" s="3" t="str">
        <f t="shared" si="46"/>
        <v>100</v>
      </c>
      <c r="G111" s="3" t="str">
        <f t="shared" si="47"/>
        <v>二级</v>
      </c>
      <c r="H111" s="4" t="str">
        <f t="shared" si="28"/>
        <v/>
      </c>
    </row>
    <row r="112" customHeight="1" spans="1:8">
      <c r="A112" s="3" t="str">
        <f>"3711"</f>
        <v>3711</v>
      </c>
      <c r="B112" s="3" t="s">
        <v>872</v>
      </c>
      <c r="C112" s="3" t="str">
        <f>"城南路街道"</f>
        <v>城南路街道</v>
      </c>
      <c r="D112" s="3" t="str">
        <f>"燕子岭社区"</f>
        <v>燕子岭社区</v>
      </c>
      <c r="E112" s="3" t="str">
        <f t="shared" si="27"/>
        <v>140</v>
      </c>
      <c r="F112" s="3" t="str">
        <f t="shared" si="46"/>
        <v>100</v>
      </c>
      <c r="G112" s="3" t="str">
        <f>"一级"</f>
        <v>一级</v>
      </c>
      <c r="H112" s="4" t="str">
        <f t="shared" si="28"/>
        <v/>
      </c>
    </row>
    <row r="113" customHeight="1" spans="1:8">
      <c r="A113" s="3" t="str">
        <f>"3712"</f>
        <v>3712</v>
      </c>
      <c r="B113" s="3" t="s">
        <v>2439</v>
      </c>
      <c r="C113" s="3" t="str">
        <f t="shared" si="48"/>
        <v>坡子街街道</v>
      </c>
      <c r="D113" s="3" t="str">
        <f>"坡子街社区"</f>
        <v>坡子街社区</v>
      </c>
      <c r="E113" s="3" t="str">
        <f t="shared" si="27"/>
        <v>140</v>
      </c>
      <c r="F113" s="3" t="str">
        <f t="shared" si="46"/>
        <v>100</v>
      </c>
      <c r="G113" s="3" t="str">
        <f t="shared" ref="G113:G119" si="49">"二级"</f>
        <v>二级</v>
      </c>
      <c r="H113" s="4" t="str">
        <f t="shared" si="28"/>
        <v/>
      </c>
    </row>
    <row r="114" customHeight="1" spans="1:8">
      <c r="A114" s="3" t="str">
        <f>"3713"</f>
        <v>3713</v>
      </c>
      <c r="B114" s="3" t="s">
        <v>2440</v>
      </c>
      <c r="C114" s="3" t="str">
        <f>"金盆岭街道"</f>
        <v>金盆岭街道</v>
      </c>
      <c r="D114" s="3" t="str">
        <f>"赤岭路社区"</f>
        <v>赤岭路社区</v>
      </c>
      <c r="E114" s="3" t="str">
        <f t="shared" si="27"/>
        <v>140</v>
      </c>
      <c r="F114" s="3" t="str">
        <f t="shared" si="46"/>
        <v>100</v>
      </c>
      <c r="G114" s="3" t="str">
        <f t="shared" si="49"/>
        <v>二级</v>
      </c>
      <c r="H114" s="4" t="str">
        <f t="shared" si="28"/>
        <v/>
      </c>
    </row>
    <row r="115" customHeight="1" spans="1:8">
      <c r="A115" s="3" t="str">
        <f>"3714"</f>
        <v>3714</v>
      </c>
      <c r="B115" s="3" t="s">
        <v>2338</v>
      </c>
      <c r="C115" s="3" t="str">
        <f>"坡子街街道"</f>
        <v>坡子街街道</v>
      </c>
      <c r="D115" s="3" t="str">
        <f>"文庙坪社区"</f>
        <v>文庙坪社区</v>
      </c>
      <c r="E115" s="3" t="str">
        <f t="shared" si="27"/>
        <v>140</v>
      </c>
      <c r="F115" s="3" t="str">
        <f>"0"</f>
        <v>0</v>
      </c>
      <c r="G115" s="3" t="str">
        <f>"四级"</f>
        <v>四级</v>
      </c>
      <c r="H115" s="4" t="str">
        <f t="shared" si="28"/>
        <v/>
      </c>
    </row>
    <row r="116" customHeight="1" spans="1:8">
      <c r="A116" s="3" t="str">
        <f>"3715"</f>
        <v>3715</v>
      </c>
      <c r="B116" s="3" t="s">
        <v>2441</v>
      </c>
      <c r="C116" s="3" t="str">
        <f>"黑石铺街道"</f>
        <v>黑石铺街道</v>
      </c>
      <c r="D116" s="3" t="str">
        <f>"黑石铺社区"</f>
        <v>黑石铺社区</v>
      </c>
      <c r="E116" s="3" t="str">
        <f t="shared" si="27"/>
        <v>140</v>
      </c>
      <c r="F116" s="3" t="str">
        <f t="shared" ref="F116:F134" si="50">"100"</f>
        <v>100</v>
      </c>
      <c r="G116" s="3" t="str">
        <f t="shared" si="49"/>
        <v>二级</v>
      </c>
      <c r="H116" s="4" t="str">
        <f t="shared" si="28"/>
        <v/>
      </c>
    </row>
    <row r="117" customHeight="1" spans="1:8">
      <c r="A117" s="3" t="str">
        <f>"3716"</f>
        <v>3716</v>
      </c>
      <c r="B117" s="3" t="s">
        <v>32</v>
      </c>
      <c r="C117" s="3" t="str">
        <f>"青园街道"</f>
        <v>青园街道</v>
      </c>
      <c r="D117" s="3" t="str">
        <f>"青园社区"</f>
        <v>青园社区</v>
      </c>
      <c r="E117" s="3" t="str">
        <f t="shared" si="27"/>
        <v>140</v>
      </c>
      <c r="F117" s="3" t="str">
        <f t="shared" si="50"/>
        <v>100</v>
      </c>
      <c r="G117" s="3" t="str">
        <f t="shared" si="49"/>
        <v>二级</v>
      </c>
      <c r="H117" s="4" t="str">
        <f t="shared" si="28"/>
        <v/>
      </c>
    </row>
    <row r="118" customHeight="1" spans="1:8">
      <c r="A118" s="3" t="str">
        <f>"3717"</f>
        <v>3717</v>
      </c>
      <c r="B118" s="3" t="s">
        <v>1659</v>
      </c>
      <c r="C118" s="3" t="str">
        <f>"金盆岭街道"</f>
        <v>金盆岭街道</v>
      </c>
      <c r="D118" s="3" t="str">
        <f>"狮子山社区"</f>
        <v>狮子山社区</v>
      </c>
      <c r="E118" s="3" t="str">
        <f t="shared" si="27"/>
        <v>140</v>
      </c>
      <c r="F118" s="3" t="str">
        <f t="shared" si="50"/>
        <v>100</v>
      </c>
      <c r="G118" s="3" t="str">
        <f t="shared" si="49"/>
        <v>二级</v>
      </c>
      <c r="H118" s="4" t="str">
        <f t="shared" si="28"/>
        <v/>
      </c>
    </row>
    <row r="119" customHeight="1" spans="1:8">
      <c r="A119" s="3" t="str">
        <f>"3718"</f>
        <v>3718</v>
      </c>
      <c r="B119" s="3" t="s">
        <v>2442</v>
      </c>
      <c r="C119" s="3" t="str">
        <f>"新开铺街道"</f>
        <v>新开铺街道</v>
      </c>
      <c r="D119" s="3" t="str">
        <f>"豹子岭社区"</f>
        <v>豹子岭社区</v>
      </c>
      <c r="E119" s="3" t="str">
        <f t="shared" si="27"/>
        <v>140</v>
      </c>
      <c r="F119" s="3" t="str">
        <f t="shared" si="50"/>
        <v>100</v>
      </c>
      <c r="G119" s="3" t="str">
        <f t="shared" si="49"/>
        <v>二级</v>
      </c>
      <c r="H119" s="4" t="str">
        <f t="shared" si="28"/>
        <v/>
      </c>
    </row>
    <row r="120" customHeight="1" spans="1:8">
      <c r="A120" s="3" t="str">
        <f>"3719"</f>
        <v>3719</v>
      </c>
      <c r="B120" s="3" t="s">
        <v>2443</v>
      </c>
      <c r="C120" s="3" t="str">
        <f>"大托铺街道"</f>
        <v>大托铺街道</v>
      </c>
      <c r="D120" s="3" t="str">
        <f>"黄合村委会"</f>
        <v>黄合村委会</v>
      </c>
      <c r="E120" s="3" t="str">
        <f t="shared" si="27"/>
        <v>140</v>
      </c>
      <c r="F120" s="3" t="str">
        <f t="shared" si="50"/>
        <v>100</v>
      </c>
      <c r="G120" s="3" t="str">
        <f>"一级"</f>
        <v>一级</v>
      </c>
      <c r="H120" s="4" t="str">
        <f t="shared" si="28"/>
        <v/>
      </c>
    </row>
    <row r="121" customHeight="1" spans="1:8">
      <c r="A121" s="3" t="str">
        <f>"3720"</f>
        <v>3720</v>
      </c>
      <c r="B121" s="3" t="s">
        <v>331</v>
      </c>
      <c r="C121" s="3" t="str">
        <f t="shared" ref="C121:C123" si="51">"文源街道"</f>
        <v>文源街道</v>
      </c>
      <c r="D121" s="3" t="str">
        <f>"文源社区"</f>
        <v>文源社区</v>
      </c>
      <c r="E121" s="3" t="str">
        <f t="shared" si="27"/>
        <v>140</v>
      </c>
      <c r="F121" s="3" t="str">
        <f t="shared" si="50"/>
        <v>100</v>
      </c>
      <c r="G121" s="3" t="str">
        <f t="shared" ref="G121:G124" si="52">"二级"</f>
        <v>二级</v>
      </c>
      <c r="H121" s="4" t="str">
        <f t="shared" si="28"/>
        <v/>
      </c>
    </row>
    <row r="122" customHeight="1" spans="1:8">
      <c r="A122" s="3" t="str">
        <f>"3721"</f>
        <v>3721</v>
      </c>
      <c r="B122" s="3" t="s">
        <v>1159</v>
      </c>
      <c r="C122" s="3" t="str">
        <f t="shared" si="51"/>
        <v>文源街道</v>
      </c>
      <c r="D122" s="3" t="str">
        <f>"梅岭社区"</f>
        <v>梅岭社区</v>
      </c>
      <c r="E122" s="3" t="str">
        <f t="shared" si="27"/>
        <v>140</v>
      </c>
      <c r="F122" s="3" t="str">
        <f t="shared" si="50"/>
        <v>100</v>
      </c>
      <c r="G122" s="3" t="str">
        <f t="shared" si="52"/>
        <v>二级</v>
      </c>
      <c r="H122" s="4" t="str">
        <f t="shared" si="28"/>
        <v/>
      </c>
    </row>
    <row r="123" customHeight="1" spans="1:8">
      <c r="A123" s="3" t="str">
        <f>"3722"</f>
        <v>3722</v>
      </c>
      <c r="B123" s="3" t="s">
        <v>2444</v>
      </c>
      <c r="C123" s="3" t="str">
        <f t="shared" si="51"/>
        <v>文源街道</v>
      </c>
      <c r="D123" s="3" t="str">
        <f>"梅岭社区"</f>
        <v>梅岭社区</v>
      </c>
      <c r="E123" s="3" t="str">
        <f t="shared" si="27"/>
        <v>140</v>
      </c>
      <c r="F123" s="3" t="str">
        <f t="shared" si="50"/>
        <v>100</v>
      </c>
      <c r="G123" s="3" t="str">
        <f t="shared" si="52"/>
        <v>二级</v>
      </c>
      <c r="H123" s="4" t="str">
        <f t="shared" si="28"/>
        <v/>
      </c>
    </row>
    <row r="124" customHeight="1" spans="1:8">
      <c r="A124" s="3" t="str">
        <f>"3723"</f>
        <v>3723</v>
      </c>
      <c r="B124" s="3" t="s">
        <v>2445</v>
      </c>
      <c r="C124" s="3" t="str">
        <f>"大托铺街道"</f>
        <v>大托铺街道</v>
      </c>
      <c r="D124" s="3" t="str">
        <f>"桂井村委会"</f>
        <v>桂井村委会</v>
      </c>
      <c r="E124" s="3" t="str">
        <f t="shared" si="27"/>
        <v>140</v>
      </c>
      <c r="F124" s="3" t="str">
        <f t="shared" si="50"/>
        <v>100</v>
      </c>
      <c r="G124" s="3" t="str">
        <f t="shared" si="52"/>
        <v>二级</v>
      </c>
      <c r="H124" s="4" t="str">
        <f t="shared" si="28"/>
        <v/>
      </c>
    </row>
    <row r="125" customHeight="1" spans="1:8">
      <c r="A125" s="3" t="str">
        <f>"3724"</f>
        <v>3724</v>
      </c>
      <c r="B125" s="3" t="s">
        <v>2446</v>
      </c>
      <c r="C125" s="3" t="str">
        <f>"青园街道"</f>
        <v>青园街道</v>
      </c>
      <c r="D125" s="3" t="str">
        <f>"青园社区"</f>
        <v>青园社区</v>
      </c>
      <c r="E125" s="3" t="str">
        <f t="shared" si="27"/>
        <v>140</v>
      </c>
      <c r="F125" s="3" t="str">
        <f t="shared" si="50"/>
        <v>100</v>
      </c>
      <c r="G125" s="3" t="str">
        <f t="shared" ref="G125:G130" si="53">"一级"</f>
        <v>一级</v>
      </c>
      <c r="H125" s="4" t="str">
        <f t="shared" si="28"/>
        <v/>
      </c>
    </row>
    <row r="126" customHeight="1" spans="1:8">
      <c r="A126" s="3" t="str">
        <f>"3725"</f>
        <v>3725</v>
      </c>
      <c r="B126" s="3" t="s">
        <v>632</v>
      </c>
      <c r="C126" s="3" t="str">
        <f>"坡子街街道"</f>
        <v>坡子街街道</v>
      </c>
      <c r="D126" s="3" t="str">
        <f>"楚湘社区"</f>
        <v>楚湘社区</v>
      </c>
      <c r="E126" s="3" t="str">
        <f t="shared" si="27"/>
        <v>140</v>
      </c>
      <c r="F126" s="3" t="str">
        <f t="shared" si="50"/>
        <v>100</v>
      </c>
      <c r="G126" s="3" t="str">
        <f t="shared" si="53"/>
        <v>一级</v>
      </c>
      <c r="H126" s="4" t="str">
        <f t="shared" si="28"/>
        <v/>
      </c>
    </row>
    <row r="127" customHeight="1" spans="1:8">
      <c r="A127" s="3" t="str">
        <f>"3726"</f>
        <v>3726</v>
      </c>
      <c r="B127" s="3" t="s">
        <v>2447</v>
      </c>
      <c r="C127" s="3" t="str">
        <f>"裕南街街道"</f>
        <v>裕南街街道</v>
      </c>
      <c r="D127" s="3" t="str">
        <f>"裕南街社区"</f>
        <v>裕南街社区</v>
      </c>
      <c r="E127" s="3" t="str">
        <f t="shared" si="27"/>
        <v>140</v>
      </c>
      <c r="F127" s="3" t="str">
        <f t="shared" si="50"/>
        <v>100</v>
      </c>
      <c r="G127" s="3" t="str">
        <f t="shared" ref="G127:G133" si="54">"二级"</f>
        <v>二级</v>
      </c>
      <c r="H127" s="4" t="str">
        <f t="shared" si="28"/>
        <v/>
      </c>
    </row>
    <row r="128" customHeight="1" spans="1:8">
      <c r="A128" s="3" t="str">
        <f>"3727"</f>
        <v>3727</v>
      </c>
      <c r="B128" s="3" t="s">
        <v>897</v>
      </c>
      <c r="C128" s="3" t="str">
        <f>"黑石铺街道"</f>
        <v>黑石铺街道</v>
      </c>
      <c r="D128" s="3" t="str">
        <f>"铭安社区"</f>
        <v>铭安社区</v>
      </c>
      <c r="E128" s="3" t="str">
        <f t="shared" si="27"/>
        <v>140</v>
      </c>
      <c r="F128" s="3" t="str">
        <f t="shared" si="50"/>
        <v>100</v>
      </c>
      <c r="G128" s="3" t="str">
        <f t="shared" si="54"/>
        <v>二级</v>
      </c>
      <c r="H128" s="4" t="str">
        <f t="shared" si="28"/>
        <v/>
      </c>
    </row>
    <row r="129" customHeight="1" spans="1:8">
      <c r="A129" s="3" t="str">
        <f>"3728"</f>
        <v>3728</v>
      </c>
      <c r="B129" s="3" t="s">
        <v>2448</v>
      </c>
      <c r="C129" s="3" t="str">
        <f>"裕南街街道"</f>
        <v>裕南街街道</v>
      </c>
      <c r="D129" s="3" t="str">
        <f>"石子冲社区"</f>
        <v>石子冲社区</v>
      </c>
      <c r="E129" s="3" t="str">
        <f t="shared" si="27"/>
        <v>140</v>
      </c>
      <c r="F129" s="3" t="str">
        <f t="shared" si="50"/>
        <v>100</v>
      </c>
      <c r="G129" s="3" t="str">
        <f t="shared" si="53"/>
        <v>一级</v>
      </c>
      <c r="H129" s="4" t="str">
        <f t="shared" si="28"/>
        <v/>
      </c>
    </row>
    <row r="130" customHeight="1" spans="1:8">
      <c r="A130" s="3" t="str">
        <f>"3729"</f>
        <v>3729</v>
      </c>
      <c r="B130" s="3" t="s">
        <v>822</v>
      </c>
      <c r="C130" s="3" t="str">
        <f>"坡子街街道"</f>
        <v>坡子街街道</v>
      </c>
      <c r="D130" s="3" t="str">
        <f>"文庙坪社区"</f>
        <v>文庙坪社区</v>
      </c>
      <c r="E130" s="3" t="str">
        <f t="shared" ref="E130:E193" si="55">"140"</f>
        <v>140</v>
      </c>
      <c r="F130" s="3" t="str">
        <f t="shared" si="50"/>
        <v>100</v>
      </c>
      <c r="G130" s="3" t="str">
        <f t="shared" si="53"/>
        <v>一级</v>
      </c>
      <c r="H130" s="4" t="str">
        <f t="shared" ref="H130:H153" si="56">""</f>
        <v/>
      </c>
    </row>
    <row r="131" customHeight="1" spans="1:8">
      <c r="A131" s="3" t="str">
        <f>"3730"</f>
        <v>3730</v>
      </c>
      <c r="B131" s="3" t="s">
        <v>132</v>
      </c>
      <c r="C131" s="3" t="str">
        <f>"新开铺街道"</f>
        <v>新开铺街道</v>
      </c>
      <c r="D131" s="3" t="str">
        <f>"新开铺社区"</f>
        <v>新开铺社区</v>
      </c>
      <c r="E131" s="3" t="str">
        <f t="shared" si="55"/>
        <v>140</v>
      </c>
      <c r="F131" s="3" t="str">
        <f t="shared" si="50"/>
        <v>100</v>
      </c>
      <c r="G131" s="3" t="str">
        <f t="shared" si="54"/>
        <v>二级</v>
      </c>
      <c r="H131" s="4" t="str">
        <f t="shared" si="56"/>
        <v/>
      </c>
    </row>
    <row r="132" customHeight="1" spans="1:8">
      <c r="A132" s="3" t="str">
        <f>"3731"</f>
        <v>3731</v>
      </c>
      <c r="B132" s="3" t="s">
        <v>2449</v>
      </c>
      <c r="C132" s="3" t="str">
        <f t="shared" ref="C132:C136" si="57">"南托街道"</f>
        <v>南托街道</v>
      </c>
      <c r="D132" s="3" t="str">
        <f>"牛角塘社区"</f>
        <v>牛角塘社区</v>
      </c>
      <c r="E132" s="3" t="str">
        <f t="shared" si="55"/>
        <v>140</v>
      </c>
      <c r="F132" s="3" t="str">
        <f t="shared" si="50"/>
        <v>100</v>
      </c>
      <c r="G132" s="3" t="str">
        <f t="shared" si="54"/>
        <v>二级</v>
      </c>
      <c r="H132" s="4" t="str">
        <f t="shared" si="56"/>
        <v/>
      </c>
    </row>
    <row r="133" customHeight="1" spans="1:8">
      <c r="A133" s="3" t="str">
        <f>"3732"</f>
        <v>3732</v>
      </c>
      <c r="B133" s="3" t="s">
        <v>1837</v>
      </c>
      <c r="C133" s="3" t="str">
        <f>"坡子街街道"</f>
        <v>坡子街街道</v>
      </c>
      <c r="D133" s="3" t="str">
        <f>"文庙坪社区"</f>
        <v>文庙坪社区</v>
      </c>
      <c r="E133" s="3" t="str">
        <f t="shared" si="55"/>
        <v>140</v>
      </c>
      <c r="F133" s="3" t="str">
        <f t="shared" si="50"/>
        <v>100</v>
      </c>
      <c r="G133" s="3" t="str">
        <f t="shared" si="54"/>
        <v>二级</v>
      </c>
      <c r="H133" s="4" t="str">
        <f t="shared" si="56"/>
        <v/>
      </c>
    </row>
    <row r="134" customHeight="1" spans="1:8">
      <c r="A134" s="3" t="str">
        <f>"3733"</f>
        <v>3733</v>
      </c>
      <c r="B134" s="3" t="s">
        <v>125</v>
      </c>
      <c r="C134" s="3" t="str">
        <f t="shared" si="57"/>
        <v>南托街道</v>
      </c>
      <c r="D134" s="3" t="str">
        <f>"南鑫社区"</f>
        <v>南鑫社区</v>
      </c>
      <c r="E134" s="3" t="str">
        <f t="shared" si="55"/>
        <v>140</v>
      </c>
      <c r="F134" s="3" t="str">
        <f t="shared" si="50"/>
        <v>100</v>
      </c>
      <c r="G134" s="3" t="str">
        <f>"一级"</f>
        <v>一级</v>
      </c>
      <c r="H134" s="4" t="str">
        <f t="shared" si="56"/>
        <v/>
      </c>
    </row>
    <row r="135" customHeight="1" spans="1:8">
      <c r="A135" s="3" t="str">
        <f>"3734"</f>
        <v>3734</v>
      </c>
      <c r="B135" s="3" t="s">
        <v>1756</v>
      </c>
      <c r="C135" s="3" t="str">
        <f>"赤岭路街道"</f>
        <v>赤岭路街道</v>
      </c>
      <c r="D135" s="3" t="str">
        <f>"白沙花园社区"</f>
        <v>白沙花园社区</v>
      </c>
      <c r="E135" s="3" t="str">
        <f t="shared" si="55"/>
        <v>140</v>
      </c>
      <c r="F135" s="3" t="str">
        <f>"0"</f>
        <v>0</v>
      </c>
      <c r="G135" s="3" t="str">
        <f>"四级"</f>
        <v>四级</v>
      </c>
      <c r="H135" s="4" t="str">
        <f t="shared" si="56"/>
        <v/>
      </c>
    </row>
    <row r="136" customHeight="1" spans="1:8">
      <c r="A136" s="3" t="str">
        <f>"3735"</f>
        <v>3735</v>
      </c>
      <c r="B136" s="3" t="s">
        <v>2450</v>
      </c>
      <c r="C136" s="3" t="str">
        <f t="shared" si="57"/>
        <v>南托街道</v>
      </c>
      <c r="D136" s="3" t="str">
        <f>"滨洲新村"</f>
        <v>滨洲新村</v>
      </c>
      <c r="E136" s="3" t="str">
        <f t="shared" si="55"/>
        <v>140</v>
      </c>
      <c r="F136" s="3" t="str">
        <f t="shared" ref="F136:F156" si="58">"100"</f>
        <v>100</v>
      </c>
      <c r="G136" s="3" t="str">
        <f t="shared" ref="G136:G138" si="59">"二级"</f>
        <v>二级</v>
      </c>
      <c r="H136" s="4" t="str">
        <f t="shared" si="56"/>
        <v/>
      </c>
    </row>
    <row r="137" customHeight="1" spans="1:8">
      <c r="A137" s="3" t="str">
        <f>"3736"</f>
        <v>3736</v>
      </c>
      <c r="B137" s="3" t="s">
        <v>2451</v>
      </c>
      <c r="C137" s="3" t="str">
        <f>"赤岭路街道"</f>
        <v>赤岭路街道</v>
      </c>
      <c r="D137" s="3" t="str">
        <f>"新丰社区"</f>
        <v>新丰社区</v>
      </c>
      <c r="E137" s="3" t="str">
        <f t="shared" si="55"/>
        <v>140</v>
      </c>
      <c r="F137" s="3" t="str">
        <f t="shared" si="58"/>
        <v>100</v>
      </c>
      <c r="G137" s="3" t="str">
        <f t="shared" si="59"/>
        <v>二级</v>
      </c>
      <c r="H137" s="4" t="str">
        <f t="shared" si="56"/>
        <v/>
      </c>
    </row>
    <row r="138" customHeight="1" spans="1:8">
      <c r="A138" s="3" t="str">
        <f>"3737"</f>
        <v>3737</v>
      </c>
      <c r="B138" s="3" t="s">
        <v>311</v>
      </c>
      <c r="C138" s="3" t="str">
        <f t="shared" ref="C138:C141" si="60">"城南路街道"</f>
        <v>城南路街道</v>
      </c>
      <c r="D138" s="3" t="str">
        <f>"工农桥社区"</f>
        <v>工农桥社区</v>
      </c>
      <c r="E138" s="3" t="str">
        <f t="shared" si="55"/>
        <v>140</v>
      </c>
      <c r="F138" s="3" t="str">
        <f t="shared" si="58"/>
        <v>100</v>
      </c>
      <c r="G138" s="3" t="str">
        <f t="shared" si="59"/>
        <v>二级</v>
      </c>
      <c r="H138" s="4" t="str">
        <f t="shared" si="56"/>
        <v/>
      </c>
    </row>
    <row r="139" customHeight="1" spans="1:8">
      <c r="A139" s="3" t="str">
        <f>"3738"</f>
        <v>3738</v>
      </c>
      <c r="B139" s="3" t="s">
        <v>1176</v>
      </c>
      <c r="C139" s="3" t="str">
        <f t="shared" si="60"/>
        <v>城南路街道</v>
      </c>
      <c r="D139" s="3" t="str">
        <f>"吴家坪社区"</f>
        <v>吴家坪社区</v>
      </c>
      <c r="E139" s="3" t="str">
        <f t="shared" si="55"/>
        <v>140</v>
      </c>
      <c r="F139" s="3" t="str">
        <f t="shared" si="58"/>
        <v>100</v>
      </c>
      <c r="G139" s="3" t="str">
        <f t="shared" ref="G139:G148" si="61">"一级"</f>
        <v>一级</v>
      </c>
      <c r="H139" s="4" t="str">
        <f t="shared" si="56"/>
        <v/>
      </c>
    </row>
    <row r="140" customHeight="1" spans="1:8">
      <c r="A140" s="3" t="str">
        <f>"3739"</f>
        <v>3739</v>
      </c>
      <c r="B140" s="3" t="s">
        <v>2452</v>
      </c>
      <c r="C140" s="3" t="str">
        <f>"暮云街道"</f>
        <v>暮云街道</v>
      </c>
      <c r="D140" s="3" t="str">
        <f>"暮云社区"</f>
        <v>暮云社区</v>
      </c>
      <c r="E140" s="3" t="str">
        <f t="shared" si="55"/>
        <v>140</v>
      </c>
      <c r="F140" s="3" t="str">
        <f t="shared" si="58"/>
        <v>100</v>
      </c>
      <c r="G140" s="3" t="str">
        <f t="shared" ref="G140:G143" si="62">"二级"</f>
        <v>二级</v>
      </c>
      <c r="H140" s="4" t="str">
        <f t="shared" si="56"/>
        <v/>
      </c>
    </row>
    <row r="141" customHeight="1" spans="1:8">
      <c r="A141" s="3" t="str">
        <f>"3740"</f>
        <v>3740</v>
      </c>
      <c r="B141" s="3" t="s">
        <v>408</v>
      </c>
      <c r="C141" s="3" t="str">
        <f t="shared" si="60"/>
        <v>城南路街道</v>
      </c>
      <c r="D141" s="3" t="str">
        <f>"熙台岭社区"</f>
        <v>熙台岭社区</v>
      </c>
      <c r="E141" s="3" t="str">
        <f t="shared" si="55"/>
        <v>140</v>
      </c>
      <c r="F141" s="3" t="str">
        <f t="shared" si="58"/>
        <v>100</v>
      </c>
      <c r="G141" s="3" t="str">
        <f t="shared" si="61"/>
        <v>一级</v>
      </c>
      <c r="H141" s="4" t="str">
        <f t="shared" si="56"/>
        <v/>
      </c>
    </row>
    <row r="142" customHeight="1" spans="1:8">
      <c r="A142" s="3" t="str">
        <f>"3741"</f>
        <v>3741</v>
      </c>
      <c r="B142" s="3" t="s">
        <v>2453</v>
      </c>
      <c r="C142" s="3" t="str">
        <f>"南托街道"</f>
        <v>南托街道</v>
      </c>
      <c r="D142" s="3" t="str">
        <f>"滨洲新村"</f>
        <v>滨洲新村</v>
      </c>
      <c r="E142" s="3" t="str">
        <f t="shared" si="55"/>
        <v>140</v>
      </c>
      <c r="F142" s="3" t="str">
        <f t="shared" si="58"/>
        <v>100</v>
      </c>
      <c r="G142" s="3" t="str">
        <f t="shared" si="62"/>
        <v>二级</v>
      </c>
      <c r="H142" s="4" t="str">
        <f t="shared" si="56"/>
        <v/>
      </c>
    </row>
    <row r="143" customHeight="1" spans="1:8">
      <c r="A143" s="3" t="str">
        <f>"3742"</f>
        <v>3742</v>
      </c>
      <c r="B143" s="3" t="s">
        <v>2454</v>
      </c>
      <c r="C143" s="3" t="str">
        <f>"坡子街街道"</f>
        <v>坡子街街道</v>
      </c>
      <c r="D143" s="3" t="str">
        <f>"楚湘社区"</f>
        <v>楚湘社区</v>
      </c>
      <c r="E143" s="3" t="str">
        <f t="shared" si="55"/>
        <v>140</v>
      </c>
      <c r="F143" s="3" t="str">
        <f t="shared" si="58"/>
        <v>100</v>
      </c>
      <c r="G143" s="3" t="str">
        <f t="shared" si="62"/>
        <v>二级</v>
      </c>
      <c r="H143" s="4" t="str">
        <f t="shared" si="56"/>
        <v/>
      </c>
    </row>
    <row r="144" customHeight="1" spans="1:8">
      <c r="A144" s="3" t="str">
        <f>"3743"</f>
        <v>3743</v>
      </c>
      <c r="B144" s="3" t="s">
        <v>2455</v>
      </c>
      <c r="C144" s="3" t="str">
        <f>"新开铺街道"</f>
        <v>新开铺街道</v>
      </c>
      <c r="D144" s="3" t="str">
        <f>"新开铺社区"</f>
        <v>新开铺社区</v>
      </c>
      <c r="E144" s="3" t="str">
        <f t="shared" si="55"/>
        <v>140</v>
      </c>
      <c r="F144" s="3" t="str">
        <f t="shared" si="58"/>
        <v>100</v>
      </c>
      <c r="G144" s="3" t="str">
        <f t="shared" si="61"/>
        <v>一级</v>
      </c>
      <c r="H144" s="4" t="str">
        <f t="shared" si="56"/>
        <v/>
      </c>
    </row>
    <row r="145" customHeight="1" spans="1:8">
      <c r="A145" s="3" t="str">
        <f>"3744"</f>
        <v>3744</v>
      </c>
      <c r="B145" s="3" t="s">
        <v>2456</v>
      </c>
      <c r="C145" s="3" t="str">
        <f>"暮云街道"</f>
        <v>暮云街道</v>
      </c>
      <c r="D145" s="3" t="str">
        <f>"许兴村"</f>
        <v>许兴村</v>
      </c>
      <c r="E145" s="3" t="str">
        <f t="shared" si="55"/>
        <v>140</v>
      </c>
      <c r="F145" s="3" t="str">
        <f t="shared" si="58"/>
        <v>100</v>
      </c>
      <c r="G145" s="3" t="str">
        <f t="shared" si="61"/>
        <v>一级</v>
      </c>
      <c r="H145" s="4" t="str">
        <f t="shared" si="56"/>
        <v/>
      </c>
    </row>
    <row r="146" customHeight="1" spans="1:8">
      <c r="A146" s="3" t="str">
        <f>"3745"</f>
        <v>3745</v>
      </c>
      <c r="B146" s="3" t="s">
        <v>2457</v>
      </c>
      <c r="C146" s="3" t="str">
        <f>"城南路街道"</f>
        <v>城南路街道</v>
      </c>
      <c r="D146" s="3" t="str">
        <f>"古道巷社区"</f>
        <v>古道巷社区</v>
      </c>
      <c r="E146" s="3" t="str">
        <f t="shared" si="55"/>
        <v>140</v>
      </c>
      <c r="F146" s="3" t="str">
        <f t="shared" si="58"/>
        <v>100</v>
      </c>
      <c r="G146" s="3" t="str">
        <f t="shared" si="61"/>
        <v>一级</v>
      </c>
      <c r="H146" s="4" t="str">
        <f t="shared" si="56"/>
        <v/>
      </c>
    </row>
    <row r="147" customHeight="1" spans="1:8">
      <c r="A147" s="3" t="str">
        <f>"3746"</f>
        <v>3746</v>
      </c>
      <c r="B147" s="3" t="s">
        <v>2458</v>
      </c>
      <c r="C147" s="3" t="str">
        <f>"南托街道"</f>
        <v>南托街道</v>
      </c>
      <c r="D147" s="3" t="str">
        <f>"沿江村"</f>
        <v>沿江村</v>
      </c>
      <c r="E147" s="3" t="str">
        <f t="shared" si="55"/>
        <v>140</v>
      </c>
      <c r="F147" s="3" t="str">
        <f t="shared" si="58"/>
        <v>100</v>
      </c>
      <c r="G147" s="3" t="str">
        <f t="shared" si="61"/>
        <v>一级</v>
      </c>
      <c r="H147" s="4" t="str">
        <f t="shared" si="56"/>
        <v/>
      </c>
    </row>
    <row r="148" customHeight="1" spans="1:8">
      <c r="A148" s="3" t="str">
        <f>"3747"</f>
        <v>3747</v>
      </c>
      <c r="B148" s="3" t="s">
        <v>2459</v>
      </c>
      <c r="C148" s="3" t="str">
        <f>"黑石铺街道"</f>
        <v>黑石铺街道</v>
      </c>
      <c r="D148" s="3" t="str">
        <f>"黑石铺社区"</f>
        <v>黑石铺社区</v>
      </c>
      <c r="E148" s="3" t="str">
        <f t="shared" si="55"/>
        <v>140</v>
      </c>
      <c r="F148" s="3" t="str">
        <f t="shared" si="58"/>
        <v>100</v>
      </c>
      <c r="G148" s="3" t="str">
        <f t="shared" si="61"/>
        <v>一级</v>
      </c>
      <c r="H148" s="4" t="str">
        <f t="shared" si="56"/>
        <v/>
      </c>
    </row>
    <row r="149" customHeight="1" spans="1:8">
      <c r="A149" s="3" t="str">
        <f>"3748"</f>
        <v>3748</v>
      </c>
      <c r="B149" s="3" t="s">
        <v>1226</v>
      </c>
      <c r="C149" s="3" t="str">
        <f t="shared" ref="C149:C152" si="63">"裕南街街道"</f>
        <v>裕南街街道</v>
      </c>
      <c r="D149" s="3" t="str">
        <f>"长坡社区"</f>
        <v>长坡社区</v>
      </c>
      <c r="E149" s="3" t="str">
        <f t="shared" si="55"/>
        <v>140</v>
      </c>
      <c r="F149" s="3" t="str">
        <f t="shared" si="58"/>
        <v>100</v>
      </c>
      <c r="G149" s="3" t="str">
        <f t="shared" ref="G149:G151" si="64">"二级"</f>
        <v>二级</v>
      </c>
      <c r="H149" s="4" t="str">
        <f t="shared" si="56"/>
        <v/>
      </c>
    </row>
    <row r="150" customHeight="1" spans="1:8">
      <c r="A150" s="3" t="str">
        <f>"3749"</f>
        <v>3749</v>
      </c>
      <c r="B150" s="3" t="s">
        <v>26</v>
      </c>
      <c r="C150" s="3" t="str">
        <f t="shared" si="63"/>
        <v>裕南街街道</v>
      </c>
      <c r="D150" s="3" t="str">
        <f>"长坡社区"</f>
        <v>长坡社区</v>
      </c>
      <c r="E150" s="3" t="str">
        <f t="shared" si="55"/>
        <v>140</v>
      </c>
      <c r="F150" s="3" t="str">
        <f t="shared" si="58"/>
        <v>100</v>
      </c>
      <c r="G150" s="3" t="str">
        <f t="shared" si="64"/>
        <v>二级</v>
      </c>
      <c r="H150" s="4" t="str">
        <f t="shared" si="56"/>
        <v/>
      </c>
    </row>
    <row r="151" customHeight="1" spans="1:8">
      <c r="A151" s="3" t="str">
        <f>"3750"</f>
        <v>3750</v>
      </c>
      <c r="B151" s="3" t="s">
        <v>2460</v>
      </c>
      <c r="C151" s="3" t="str">
        <f>"赤岭路街道"</f>
        <v>赤岭路街道</v>
      </c>
      <c r="D151" s="3" t="str">
        <f>"新丰社区"</f>
        <v>新丰社区</v>
      </c>
      <c r="E151" s="3" t="str">
        <f t="shared" si="55"/>
        <v>140</v>
      </c>
      <c r="F151" s="3" t="str">
        <f t="shared" si="58"/>
        <v>100</v>
      </c>
      <c r="G151" s="3" t="str">
        <f t="shared" si="64"/>
        <v>二级</v>
      </c>
      <c r="H151" s="4" t="str">
        <f t="shared" si="56"/>
        <v/>
      </c>
    </row>
    <row r="152" customHeight="1" spans="1:8">
      <c r="A152" s="3" t="str">
        <f>"3751"</f>
        <v>3751</v>
      </c>
      <c r="B152" s="3" t="s">
        <v>2461</v>
      </c>
      <c r="C152" s="3" t="str">
        <f t="shared" si="63"/>
        <v>裕南街街道</v>
      </c>
      <c r="D152" s="3" t="str">
        <f>"东瓜山社区"</f>
        <v>东瓜山社区</v>
      </c>
      <c r="E152" s="3" t="str">
        <f t="shared" si="55"/>
        <v>140</v>
      </c>
      <c r="F152" s="3" t="str">
        <f t="shared" si="58"/>
        <v>100</v>
      </c>
      <c r="G152" s="3" t="str">
        <f t="shared" ref="G152:G156" si="65">"一级"</f>
        <v>一级</v>
      </c>
      <c r="H152" s="4" t="str">
        <f t="shared" si="56"/>
        <v/>
      </c>
    </row>
    <row r="153" customHeight="1" spans="1:8">
      <c r="A153" s="3" t="str">
        <f>"3752"</f>
        <v>3752</v>
      </c>
      <c r="B153" s="3" t="s">
        <v>2462</v>
      </c>
      <c r="C153" s="3" t="str">
        <f>"青园街道"</f>
        <v>青园街道</v>
      </c>
      <c r="D153" s="3" t="str">
        <f>"青园社区"</f>
        <v>青园社区</v>
      </c>
      <c r="E153" s="3" t="str">
        <f t="shared" si="55"/>
        <v>140</v>
      </c>
      <c r="F153" s="3" t="str">
        <f t="shared" si="58"/>
        <v>100</v>
      </c>
      <c r="G153" s="3" t="str">
        <f t="shared" si="65"/>
        <v>一级</v>
      </c>
      <c r="H153" s="4" t="str">
        <f t="shared" si="56"/>
        <v/>
      </c>
    </row>
    <row r="154" customHeight="1" spans="1:7">
      <c r="A154" s="3" t="str">
        <f>"3753"</f>
        <v>3753</v>
      </c>
      <c r="B154" s="3" t="s">
        <v>2463</v>
      </c>
      <c r="C154" s="3" t="str">
        <f>"新开铺街道"</f>
        <v>新开铺街道</v>
      </c>
      <c r="D154" s="3" t="str">
        <f>"新开铺社区"</f>
        <v>新开铺社区</v>
      </c>
      <c r="E154" s="3" t="str">
        <f t="shared" si="55"/>
        <v>140</v>
      </c>
      <c r="F154" s="3" t="str">
        <f t="shared" si="58"/>
        <v>100</v>
      </c>
      <c r="G154" s="3" t="str">
        <f t="shared" ref="G154:G159" si="66">"二级"</f>
        <v>二级</v>
      </c>
    </row>
    <row r="155" customHeight="1" spans="1:7">
      <c r="A155" s="3" t="str">
        <f>"3754"</f>
        <v>3754</v>
      </c>
      <c r="B155" s="3" t="s">
        <v>113</v>
      </c>
      <c r="C155" s="3" t="str">
        <f>"新开铺街道"</f>
        <v>新开铺街道</v>
      </c>
      <c r="D155" s="3" t="str">
        <f>"新开铺社区"</f>
        <v>新开铺社区</v>
      </c>
      <c r="E155" s="3" t="str">
        <f t="shared" si="55"/>
        <v>140</v>
      </c>
      <c r="F155" s="3" t="str">
        <f t="shared" si="58"/>
        <v>100</v>
      </c>
      <c r="G155" s="3" t="str">
        <f t="shared" si="66"/>
        <v>二级</v>
      </c>
    </row>
    <row r="156" customHeight="1" spans="1:7">
      <c r="A156" s="3" t="str">
        <f>"3755"</f>
        <v>3755</v>
      </c>
      <c r="B156" s="3" t="s">
        <v>2464</v>
      </c>
      <c r="C156" s="3" t="str">
        <f>"青园街道"</f>
        <v>青园街道</v>
      </c>
      <c r="D156" s="3" t="str">
        <f>"友谊社区"</f>
        <v>友谊社区</v>
      </c>
      <c r="E156" s="3" t="str">
        <f t="shared" si="55"/>
        <v>140</v>
      </c>
      <c r="F156" s="3" t="str">
        <f t="shared" si="58"/>
        <v>100</v>
      </c>
      <c r="G156" s="3" t="str">
        <f t="shared" si="65"/>
        <v>一级</v>
      </c>
    </row>
    <row r="157" customHeight="1" spans="1:7">
      <c r="A157" s="3" t="str">
        <f>"3756"</f>
        <v>3756</v>
      </c>
      <c r="B157" s="3" t="s">
        <v>2465</v>
      </c>
      <c r="C157" s="3" t="str">
        <f>"暮云街道"</f>
        <v>暮云街道</v>
      </c>
      <c r="D157" s="3" t="str">
        <f>"许兴村"</f>
        <v>许兴村</v>
      </c>
      <c r="E157" s="3" t="str">
        <f t="shared" si="55"/>
        <v>140</v>
      </c>
      <c r="F157" s="3" t="str">
        <f>"0"</f>
        <v>0</v>
      </c>
      <c r="G157" s="3" t="str">
        <f>"四级"</f>
        <v>四级</v>
      </c>
    </row>
    <row r="158" customHeight="1" spans="1:7">
      <c r="A158" s="3" t="str">
        <f>"3757"</f>
        <v>3757</v>
      </c>
      <c r="B158" s="3" t="s">
        <v>146</v>
      </c>
      <c r="C158" s="3" t="str">
        <f>"文源街道"</f>
        <v>文源街道</v>
      </c>
      <c r="D158" s="3" t="str">
        <f>"梅岭社区"</f>
        <v>梅岭社区</v>
      </c>
      <c r="E158" s="3" t="str">
        <f t="shared" si="55"/>
        <v>140</v>
      </c>
      <c r="F158" s="3" t="str">
        <f t="shared" ref="F158:F163" si="67">"100"</f>
        <v>100</v>
      </c>
      <c r="G158" s="3" t="str">
        <f t="shared" si="66"/>
        <v>二级</v>
      </c>
    </row>
    <row r="159" customHeight="1" spans="1:7">
      <c r="A159" s="3" t="str">
        <f>"3758"</f>
        <v>3758</v>
      </c>
      <c r="B159" s="3" t="s">
        <v>1075</v>
      </c>
      <c r="C159" s="3" t="str">
        <f>"南托街道"</f>
        <v>南托街道</v>
      </c>
      <c r="D159" s="3" t="str">
        <f>"牛角塘村"</f>
        <v>牛角塘村</v>
      </c>
      <c r="E159" s="3" t="str">
        <f t="shared" si="55"/>
        <v>140</v>
      </c>
      <c r="F159" s="3" t="str">
        <f t="shared" si="67"/>
        <v>100</v>
      </c>
      <c r="G159" s="3" t="str">
        <f t="shared" si="66"/>
        <v>二级</v>
      </c>
    </row>
    <row r="160" customHeight="1" spans="1:7">
      <c r="A160" s="3" t="str">
        <f>"3759"</f>
        <v>3759</v>
      </c>
      <c r="B160" s="3" t="s">
        <v>1482</v>
      </c>
      <c r="C160" s="3" t="str">
        <f>"桂花坪街道"</f>
        <v>桂花坪街道</v>
      </c>
      <c r="D160" s="3" t="str">
        <f>"九峰苑社区"</f>
        <v>九峰苑社区</v>
      </c>
      <c r="E160" s="3" t="str">
        <f t="shared" si="55"/>
        <v>140</v>
      </c>
      <c r="F160" s="3" t="str">
        <f t="shared" si="67"/>
        <v>100</v>
      </c>
      <c r="G160" s="3" t="str">
        <f>"一级"</f>
        <v>一级</v>
      </c>
    </row>
    <row r="161" customHeight="1" spans="1:7">
      <c r="A161" s="3" t="str">
        <f>"3760"</f>
        <v>3760</v>
      </c>
      <c r="B161" s="3" t="s">
        <v>2466</v>
      </c>
      <c r="C161" s="3" t="str">
        <f>"先锋街道"</f>
        <v>先锋街道</v>
      </c>
      <c r="D161" s="3" t="str">
        <f>"新宇社区"</f>
        <v>新宇社区</v>
      </c>
      <c r="E161" s="3" t="str">
        <f t="shared" si="55"/>
        <v>140</v>
      </c>
      <c r="F161" s="3" t="str">
        <f t="shared" si="67"/>
        <v>100</v>
      </c>
      <c r="G161" s="3" t="str">
        <f t="shared" ref="G161:G165" si="68">"二级"</f>
        <v>二级</v>
      </c>
    </row>
    <row r="162" customHeight="1" spans="1:7">
      <c r="A162" s="3" t="str">
        <f>"3761"</f>
        <v>3761</v>
      </c>
      <c r="B162" s="3" t="s">
        <v>2467</v>
      </c>
      <c r="C162" s="3" t="str">
        <f>"文源街道"</f>
        <v>文源街道</v>
      </c>
      <c r="D162" s="3" t="str">
        <f>"天鸿社区"</f>
        <v>天鸿社区</v>
      </c>
      <c r="E162" s="3" t="str">
        <f t="shared" si="55"/>
        <v>140</v>
      </c>
      <c r="F162" s="3" t="str">
        <f t="shared" si="67"/>
        <v>100</v>
      </c>
      <c r="G162" s="3" t="str">
        <f t="shared" si="68"/>
        <v>二级</v>
      </c>
    </row>
    <row r="163" customHeight="1" spans="1:7">
      <c r="A163" s="3" t="str">
        <f>"3762"</f>
        <v>3762</v>
      </c>
      <c r="B163" s="3" t="s">
        <v>2468</v>
      </c>
      <c r="C163" s="3" t="str">
        <f>"城南路街道"</f>
        <v>城南路街道</v>
      </c>
      <c r="D163" s="3" t="str">
        <f>"燕子岭社区"</f>
        <v>燕子岭社区</v>
      </c>
      <c r="E163" s="3" t="str">
        <f t="shared" si="55"/>
        <v>140</v>
      </c>
      <c r="F163" s="3" t="str">
        <f t="shared" si="67"/>
        <v>100</v>
      </c>
      <c r="G163" s="3" t="str">
        <f>"一级"</f>
        <v>一级</v>
      </c>
    </row>
    <row r="164" customHeight="1" spans="1:7">
      <c r="A164" s="3" t="str">
        <f>"3763"</f>
        <v>3763</v>
      </c>
      <c r="B164" s="3" t="s">
        <v>2469</v>
      </c>
      <c r="C164" s="3" t="str">
        <f t="shared" ref="C164:C168" si="69">"裕南街街道"</f>
        <v>裕南街街道</v>
      </c>
      <c r="D164" s="3" t="str">
        <f>"石子冲社区"</f>
        <v>石子冲社区</v>
      </c>
      <c r="E164" s="3" t="str">
        <f t="shared" si="55"/>
        <v>140</v>
      </c>
      <c r="F164" s="3" t="str">
        <f t="shared" ref="F164:F168" si="70">"0"</f>
        <v>0</v>
      </c>
      <c r="G164" s="3" t="str">
        <f t="shared" ref="G164:G168" si="71">"三级"</f>
        <v>三级</v>
      </c>
    </row>
    <row r="165" customHeight="1" spans="1:7">
      <c r="A165" s="3" t="str">
        <f>"3764"</f>
        <v>3764</v>
      </c>
      <c r="B165" s="3" t="s">
        <v>2470</v>
      </c>
      <c r="C165" s="3" t="str">
        <f t="shared" si="69"/>
        <v>裕南街街道</v>
      </c>
      <c r="D165" s="3" t="str">
        <f>"石子冲社区"</f>
        <v>石子冲社区</v>
      </c>
      <c r="E165" s="3" t="str">
        <f t="shared" si="55"/>
        <v>140</v>
      </c>
      <c r="F165" s="3" t="str">
        <f t="shared" ref="F165:F174" si="72">"100"</f>
        <v>100</v>
      </c>
      <c r="G165" s="3" t="str">
        <f t="shared" si="68"/>
        <v>二级</v>
      </c>
    </row>
    <row r="166" customHeight="1" spans="1:7">
      <c r="A166" s="3" t="str">
        <f>"3765"</f>
        <v>3765</v>
      </c>
      <c r="B166" s="3" t="s">
        <v>140</v>
      </c>
      <c r="C166" s="3" t="str">
        <f t="shared" si="69"/>
        <v>裕南街街道</v>
      </c>
      <c r="D166" s="3" t="str">
        <f>"向东南社区"</f>
        <v>向东南社区</v>
      </c>
      <c r="E166" s="3" t="str">
        <f t="shared" si="55"/>
        <v>140</v>
      </c>
      <c r="F166" s="3" t="str">
        <f t="shared" si="70"/>
        <v>0</v>
      </c>
      <c r="G166" s="3" t="str">
        <f t="shared" si="71"/>
        <v>三级</v>
      </c>
    </row>
    <row r="167" customHeight="1" spans="1:7">
      <c r="A167" s="3" t="str">
        <f>"3766"</f>
        <v>3766</v>
      </c>
      <c r="B167" s="3" t="s">
        <v>2471</v>
      </c>
      <c r="C167" s="3" t="str">
        <f t="shared" si="69"/>
        <v>裕南街街道</v>
      </c>
      <c r="D167" s="3" t="str">
        <f>"南站社区"</f>
        <v>南站社区</v>
      </c>
      <c r="E167" s="3" t="str">
        <f t="shared" si="55"/>
        <v>140</v>
      </c>
      <c r="F167" s="3" t="str">
        <f t="shared" si="72"/>
        <v>100</v>
      </c>
      <c r="G167" s="3" t="str">
        <f t="shared" ref="G167:G171" si="73">"二级"</f>
        <v>二级</v>
      </c>
    </row>
    <row r="168" customHeight="1" spans="1:7">
      <c r="A168" s="3" t="str">
        <f>"3767"</f>
        <v>3767</v>
      </c>
      <c r="B168" s="3" t="s">
        <v>2472</v>
      </c>
      <c r="C168" s="3" t="str">
        <f t="shared" si="69"/>
        <v>裕南街街道</v>
      </c>
      <c r="D168" s="3" t="str">
        <f>"南站社区"</f>
        <v>南站社区</v>
      </c>
      <c r="E168" s="3" t="str">
        <f t="shared" si="55"/>
        <v>140</v>
      </c>
      <c r="F168" s="3" t="str">
        <f t="shared" si="70"/>
        <v>0</v>
      </c>
      <c r="G168" s="3" t="str">
        <f t="shared" si="71"/>
        <v>三级</v>
      </c>
    </row>
    <row r="169" customHeight="1" spans="1:7">
      <c r="A169" s="3" t="str">
        <f>"3768"</f>
        <v>3768</v>
      </c>
      <c r="B169" s="3" t="s">
        <v>2473</v>
      </c>
      <c r="C169" s="3" t="str">
        <f>"黑石铺街道"</f>
        <v>黑石铺街道</v>
      </c>
      <c r="D169" s="3" t="str">
        <f>"黑石铺社区"</f>
        <v>黑石铺社区</v>
      </c>
      <c r="E169" s="3" t="str">
        <f t="shared" si="55"/>
        <v>140</v>
      </c>
      <c r="F169" s="3" t="str">
        <f t="shared" si="72"/>
        <v>100</v>
      </c>
      <c r="G169" s="3" t="str">
        <f t="shared" si="73"/>
        <v>二级</v>
      </c>
    </row>
    <row r="170" customHeight="1" spans="1:7">
      <c r="A170" s="3" t="str">
        <f>"3769"</f>
        <v>3769</v>
      </c>
      <c r="B170" s="3" t="s">
        <v>520</v>
      </c>
      <c r="C170" s="3" t="str">
        <f>"裕南街街道"</f>
        <v>裕南街街道</v>
      </c>
      <c r="D170" s="3" t="str">
        <f>"石子冲社区"</f>
        <v>石子冲社区</v>
      </c>
      <c r="E170" s="3" t="str">
        <f t="shared" si="55"/>
        <v>140</v>
      </c>
      <c r="F170" s="3" t="str">
        <f t="shared" si="72"/>
        <v>100</v>
      </c>
      <c r="G170" s="3" t="str">
        <f t="shared" ref="G170:G174" si="74">"一级"</f>
        <v>一级</v>
      </c>
    </row>
    <row r="171" customHeight="1" spans="1:7">
      <c r="A171" s="3" t="str">
        <f>"3770"</f>
        <v>3770</v>
      </c>
      <c r="B171" s="3" t="s">
        <v>2474</v>
      </c>
      <c r="C171" s="3" t="str">
        <f t="shared" ref="C171:C175" si="75">"暮云街道"</f>
        <v>暮云街道</v>
      </c>
      <c r="D171" s="3" t="str">
        <f>"暮云社区"</f>
        <v>暮云社区</v>
      </c>
      <c r="E171" s="3" t="str">
        <f t="shared" si="55"/>
        <v>140</v>
      </c>
      <c r="F171" s="3" t="str">
        <f t="shared" si="72"/>
        <v>100</v>
      </c>
      <c r="G171" s="3" t="str">
        <f t="shared" si="73"/>
        <v>二级</v>
      </c>
    </row>
    <row r="172" customHeight="1" spans="1:7">
      <c r="A172" s="3" t="str">
        <f>"3771"</f>
        <v>3771</v>
      </c>
      <c r="B172" s="3" t="s">
        <v>734</v>
      </c>
      <c r="C172" s="3" t="str">
        <f t="shared" si="75"/>
        <v>暮云街道</v>
      </c>
      <c r="D172" s="3" t="str">
        <f>"暮云社区"</f>
        <v>暮云社区</v>
      </c>
      <c r="E172" s="3" t="str">
        <f t="shared" si="55"/>
        <v>140</v>
      </c>
      <c r="F172" s="3" t="str">
        <f t="shared" si="72"/>
        <v>100</v>
      </c>
      <c r="G172" s="3" t="str">
        <f t="shared" si="74"/>
        <v>一级</v>
      </c>
    </row>
    <row r="173" customHeight="1" spans="1:7">
      <c r="A173" s="3" t="str">
        <f>"3772"</f>
        <v>3772</v>
      </c>
      <c r="B173" s="3" t="s">
        <v>2475</v>
      </c>
      <c r="C173" s="3" t="str">
        <f>"黑石铺街道"</f>
        <v>黑石铺街道</v>
      </c>
      <c r="D173" s="3" t="str">
        <f>"黑石铺社区"</f>
        <v>黑石铺社区</v>
      </c>
      <c r="E173" s="3" t="str">
        <f t="shared" si="55"/>
        <v>140</v>
      </c>
      <c r="F173" s="3" t="str">
        <f t="shared" si="72"/>
        <v>100</v>
      </c>
      <c r="G173" s="3" t="str">
        <f t="shared" ref="G173:G178" si="76">"二级"</f>
        <v>二级</v>
      </c>
    </row>
    <row r="174" customHeight="1" spans="1:7">
      <c r="A174" s="3" t="str">
        <f>"3773"</f>
        <v>3773</v>
      </c>
      <c r="B174" s="3" t="s">
        <v>1687</v>
      </c>
      <c r="C174" s="3" t="str">
        <f>"坡子街街道"</f>
        <v>坡子街街道</v>
      </c>
      <c r="D174" s="3" t="str">
        <f>"青山祠社区"</f>
        <v>青山祠社区</v>
      </c>
      <c r="E174" s="3" t="str">
        <f t="shared" si="55"/>
        <v>140</v>
      </c>
      <c r="F174" s="3" t="str">
        <f t="shared" si="72"/>
        <v>100</v>
      </c>
      <c r="G174" s="3" t="str">
        <f t="shared" si="74"/>
        <v>一级</v>
      </c>
    </row>
    <row r="175" customHeight="1" spans="1:7">
      <c r="A175" s="3" t="str">
        <f>"3774"</f>
        <v>3774</v>
      </c>
      <c r="B175" s="3" t="s">
        <v>2476</v>
      </c>
      <c r="C175" s="3" t="str">
        <f t="shared" si="75"/>
        <v>暮云街道</v>
      </c>
      <c r="D175" s="3" t="str">
        <f>"华月湖社区"</f>
        <v>华月湖社区</v>
      </c>
      <c r="E175" s="3" t="str">
        <f t="shared" si="55"/>
        <v>140</v>
      </c>
      <c r="F175" s="3" t="str">
        <f>"0"</f>
        <v>0</v>
      </c>
      <c r="G175" s="3" t="str">
        <f>"三级"</f>
        <v>三级</v>
      </c>
    </row>
    <row r="176" customHeight="1" spans="1:7">
      <c r="A176" s="3" t="str">
        <f>"3775"</f>
        <v>3775</v>
      </c>
      <c r="B176" s="3" t="s">
        <v>2477</v>
      </c>
      <c r="C176" s="3" t="str">
        <f>"新开铺街道"</f>
        <v>新开铺街道</v>
      </c>
      <c r="D176" s="3" t="str">
        <f>"豹子岭社区"</f>
        <v>豹子岭社区</v>
      </c>
      <c r="E176" s="3" t="str">
        <f t="shared" si="55"/>
        <v>140</v>
      </c>
      <c r="F176" s="3" t="str">
        <f t="shared" ref="F176:F185" si="77">"100"</f>
        <v>100</v>
      </c>
      <c r="G176" s="3" t="str">
        <f t="shared" si="76"/>
        <v>二级</v>
      </c>
    </row>
    <row r="177" customHeight="1" spans="1:7">
      <c r="A177" s="3" t="str">
        <f>"3776"</f>
        <v>3776</v>
      </c>
      <c r="B177" s="3" t="s">
        <v>2478</v>
      </c>
      <c r="C177" s="3" t="str">
        <f>"新开铺街道"</f>
        <v>新开铺街道</v>
      </c>
      <c r="D177" s="3" t="str">
        <f>"豹子岭社区"</f>
        <v>豹子岭社区</v>
      </c>
      <c r="E177" s="3" t="str">
        <f t="shared" si="55"/>
        <v>140</v>
      </c>
      <c r="F177" s="3" t="str">
        <f t="shared" si="77"/>
        <v>100</v>
      </c>
      <c r="G177" s="3" t="str">
        <f t="shared" si="76"/>
        <v>二级</v>
      </c>
    </row>
    <row r="178" customHeight="1" spans="1:7">
      <c r="A178" s="3" t="str">
        <f>"3777"</f>
        <v>3777</v>
      </c>
      <c r="B178" s="3" t="s">
        <v>2479</v>
      </c>
      <c r="C178" s="3" t="str">
        <f>"坡子街街道"</f>
        <v>坡子街街道</v>
      </c>
      <c r="D178" s="3" t="str">
        <f>"登仁桥社区"</f>
        <v>登仁桥社区</v>
      </c>
      <c r="E178" s="3" t="str">
        <f t="shared" si="55"/>
        <v>140</v>
      </c>
      <c r="F178" s="3" t="str">
        <f t="shared" si="77"/>
        <v>100</v>
      </c>
      <c r="G178" s="3" t="str">
        <f t="shared" si="76"/>
        <v>二级</v>
      </c>
    </row>
    <row r="179" customHeight="1" spans="1:7">
      <c r="A179" s="3" t="str">
        <f>"3778"</f>
        <v>3778</v>
      </c>
      <c r="B179" s="3" t="s">
        <v>2480</v>
      </c>
      <c r="C179" s="3" t="str">
        <f>"南托街道"</f>
        <v>南托街道</v>
      </c>
      <c r="D179" s="3" t="str">
        <f>"融城社区"</f>
        <v>融城社区</v>
      </c>
      <c r="E179" s="3" t="str">
        <f t="shared" si="55"/>
        <v>140</v>
      </c>
      <c r="F179" s="3" t="str">
        <f t="shared" si="77"/>
        <v>100</v>
      </c>
      <c r="G179" s="3" t="str">
        <f>"一级"</f>
        <v>一级</v>
      </c>
    </row>
    <row r="180" customHeight="1" spans="1:7">
      <c r="A180" s="3" t="str">
        <f>"3779"</f>
        <v>3779</v>
      </c>
      <c r="B180" s="3" t="s">
        <v>1038</v>
      </c>
      <c r="C180" s="3" t="str">
        <f>"南托街道"</f>
        <v>南托街道</v>
      </c>
      <c r="D180" s="3" t="str">
        <f>"沿江村"</f>
        <v>沿江村</v>
      </c>
      <c r="E180" s="3" t="str">
        <f t="shared" si="55"/>
        <v>140</v>
      </c>
      <c r="F180" s="3" t="str">
        <f t="shared" si="77"/>
        <v>100</v>
      </c>
      <c r="G180" s="3" t="str">
        <f t="shared" ref="G180:G185" si="78">"二级"</f>
        <v>二级</v>
      </c>
    </row>
    <row r="181" customHeight="1" spans="1:7">
      <c r="A181" s="3" t="str">
        <f>"3780"</f>
        <v>3780</v>
      </c>
      <c r="B181" s="3" t="s">
        <v>2481</v>
      </c>
      <c r="C181" s="3" t="str">
        <f>"赤岭路街道"</f>
        <v>赤岭路街道</v>
      </c>
      <c r="D181" s="3" t="str">
        <f>"新丰社区"</f>
        <v>新丰社区</v>
      </c>
      <c r="E181" s="3" t="str">
        <f t="shared" si="55"/>
        <v>140</v>
      </c>
      <c r="F181" s="3" t="str">
        <f t="shared" si="77"/>
        <v>100</v>
      </c>
      <c r="G181" s="3" t="str">
        <f>"一级"</f>
        <v>一级</v>
      </c>
    </row>
    <row r="182" customHeight="1" spans="1:7">
      <c r="A182" s="3" t="str">
        <f>"3781"</f>
        <v>3781</v>
      </c>
      <c r="B182" s="3" t="s">
        <v>80</v>
      </c>
      <c r="C182" s="3" t="str">
        <f>"裕南街街道"</f>
        <v>裕南街街道</v>
      </c>
      <c r="D182" s="3" t="str">
        <f>"火把山社区"</f>
        <v>火把山社区</v>
      </c>
      <c r="E182" s="3" t="str">
        <f t="shared" si="55"/>
        <v>140</v>
      </c>
      <c r="F182" s="3" t="str">
        <f t="shared" si="77"/>
        <v>100</v>
      </c>
      <c r="G182" s="3" t="str">
        <f t="shared" si="78"/>
        <v>二级</v>
      </c>
    </row>
    <row r="183" customHeight="1" spans="1:7">
      <c r="A183" s="3" t="str">
        <f>"3782"</f>
        <v>3782</v>
      </c>
      <c r="B183" s="3" t="s">
        <v>2482</v>
      </c>
      <c r="C183" s="3" t="str">
        <f>"青园街道"</f>
        <v>青园街道</v>
      </c>
      <c r="D183" s="3" t="str">
        <f>"青园社区"</f>
        <v>青园社区</v>
      </c>
      <c r="E183" s="3" t="str">
        <f t="shared" si="55"/>
        <v>140</v>
      </c>
      <c r="F183" s="3" t="str">
        <f t="shared" si="77"/>
        <v>100</v>
      </c>
      <c r="G183" s="3" t="str">
        <f t="shared" si="78"/>
        <v>二级</v>
      </c>
    </row>
    <row r="184" customHeight="1" spans="1:7">
      <c r="A184" s="3" t="str">
        <f>"3783"</f>
        <v>3783</v>
      </c>
      <c r="B184" s="3" t="s">
        <v>2483</v>
      </c>
      <c r="C184" s="3" t="str">
        <f>"裕南街街道"</f>
        <v>裕南街街道</v>
      </c>
      <c r="D184" s="3" t="str">
        <f>"仰天湖社区"</f>
        <v>仰天湖社区</v>
      </c>
      <c r="E184" s="3" t="str">
        <f t="shared" si="55"/>
        <v>140</v>
      </c>
      <c r="F184" s="3" t="str">
        <f t="shared" si="77"/>
        <v>100</v>
      </c>
      <c r="G184" s="3" t="str">
        <f t="shared" si="78"/>
        <v>二级</v>
      </c>
    </row>
    <row r="185" customHeight="1" spans="1:7">
      <c r="A185" s="3" t="str">
        <f>"3784"</f>
        <v>3784</v>
      </c>
      <c r="B185" s="3" t="s">
        <v>428</v>
      </c>
      <c r="C185" s="3" t="str">
        <f>"坡子街街道"</f>
        <v>坡子街街道</v>
      </c>
      <c r="D185" s="3" t="str">
        <f>"登仁桥社区"</f>
        <v>登仁桥社区</v>
      </c>
      <c r="E185" s="3" t="str">
        <f t="shared" si="55"/>
        <v>140</v>
      </c>
      <c r="F185" s="3" t="str">
        <f t="shared" si="77"/>
        <v>100</v>
      </c>
      <c r="G185" s="3" t="str">
        <f t="shared" si="78"/>
        <v>二级</v>
      </c>
    </row>
    <row r="186" customHeight="1" spans="1:7">
      <c r="A186" s="3" t="str">
        <f>"3785"</f>
        <v>3785</v>
      </c>
      <c r="B186" s="3" t="s">
        <v>797</v>
      </c>
      <c r="C186" s="3" t="str">
        <f>"新开铺街道"</f>
        <v>新开铺街道</v>
      </c>
      <c r="D186" s="3" t="str">
        <f>"新天社区"</f>
        <v>新天社区</v>
      </c>
      <c r="E186" s="3" t="str">
        <f t="shared" si="55"/>
        <v>140</v>
      </c>
      <c r="F186" s="3" t="str">
        <f>"0"</f>
        <v>0</v>
      </c>
      <c r="G186" s="3" t="str">
        <f>"三级"</f>
        <v>三级</v>
      </c>
    </row>
    <row r="187" customHeight="1" spans="1:7">
      <c r="A187" s="3" t="str">
        <f>"3786"</f>
        <v>3786</v>
      </c>
      <c r="B187" s="3" t="s">
        <v>2484</v>
      </c>
      <c r="C187" s="3" t="str">
        <f>"大托铺街道"</f>
        <v>大托铺街道</v>
      </c>
      <c r="D187" s="3" t="str">
        <f>"大托村委会"</f>
        <v>大托村委会</v>
      </c>
      <c r="E187" s="3" t="str">
        <f t="shared" si="55"/>
        <v>140</v>
      </c>
      <c r="F187" s="3" t="str">
        <f t="shared" ref="F187:F194" si="79">"100"</f>
        <v>100</v>
      </c>
      <c r="G187" s="3" t="str">
        <f t="shared" ref="G187:G193" si="80">"二级"</f>
        <v>二级</v>
      </c>
    </row>
    <row r="188" customHeight="1" spans="1:7">
      <c r="A188" s="3" t="str">
        <f>"3787"</f>
        <v>3787</v>
      </c>
      <c r="B188" s="3" t="s">
        <v>2485</v>
      </c>
      <c r="C188" s="3" t="str">
        <f>"城南路街道"</f>
        <v>城南路街道</v>
      </c>
      <c r="D188" s="3" t="str">
        <f>"工农桥社区"</f>
        <v>工农桥社区</v>
      </c>
      <c r="E188" s="3" t="str">
        <f t="shared" si="55"/>
        <v>140</v>
      </c>
      <c r="F188" s="3" t="str">
        <f t="shared" si="79"/>
        <v>100</v>
      </c>
      <c r="G188" s="3" t="str">
        <f t="shared" si="80"/>
        <v>二级</v>
      </c>
    </row>
    <row r="189" customHeight="1" spans="1:7">
      <c r="A189" s="3" t="str">
        <f>"3788"</f>
        <v>3788</v>
      </c>
      <c r="B189" s="3" t="s">
        <v>1955</v>
      </c>
      <c r="C189" s="3" t="str">
        <f>"南托街道"</f>
        <v>南托街道</v>
      </c>
      <c r="D189" s="3" t="str">
        <f>"牛角塘社区"</f>
        <v>牛角塘社区</v>
      </c>
      <c r="E189" s="3" t="str">
        <f t="shared" si="55"/>
        <v>140</v>
      </c>
      <c r="F189" s="3" t="str">
        <f t="shared" si="79"/>
        <v>100</v>
      </c>
      <c r="G189" s="3" t="str">
        <f>"一级"</f>
        <v>一级</v>
      </c>
    </row>
    <row r="190" customHeight="1" spans="1:7">
      <c r="A190" s="3" t="str">
        <f>"3789"</f>
        <v>3789</v>
      </c>
      <c r="B190" s="3" t="s">
        <v>1863</v>
      </c>
      <c r="C190" s="3" t="str">
        <f>"青园街道"</f>
        <v>青园街道</v>
      </c>
      <c r="D190" s="3" t="str">
        <f>"青园社区"</f>
        <v>青园社区</v>
      </c>
      <c r="E190" s="3" t="str">
        <f t="shared" si="55"/>
        <v>140</v>
      </c>
      <c r="F190" s="3" t="str">
        <f t="shared" si="79"/>
        <v>100</v>
      </c>
      <c r="G190" s="3" t="str">
        <f t="shared" si="80"/>
        <v>二级</v>
      </c>
    </row>
    <row r="191" customHeight="1" spans="1:7">
      <c r="A191" s="3" t="str">
        <f>"3790"</f>
        <v>3790</v>
      </c>
      <c r="B191" s="3" t="s">
        <v>520</v>
      </c>
      <c r="C191" s="3" t="str">
        <f t="shared" ref="C191:C196" si="81">"新开铺街道"</f>
        <v>新开铺街道</v>
      </c>
      <c r="D191" s="3" t="str">
        <f>"豹子岭社区"</f>
        <v>豹子岭社区</v>
      </c>
      <c r="E191" s="3" t="str">
        <f t="shared" si="55"/>
        <v>140</v>
      </c>
      <c r="F191" s="3" t="str">
        <f t="shared" si="79"/>
        <v>100</v>
      </c>
      <c r="G191" s="3" t="str">
        <f t="shared" si="80"/>
        <v>二级</v>
      </c>
    </row>
    <row r="192" customHeight="1" spans="1:7">
      <c r="A192" s="3" t="str">
        <f>"3791"</f>
        <v>3791</v>
      </c>
      <c r="B192" s="3" t="s">
        <v>1306</v>
      </c>
      <c r="C192" s="3" t="str">
        <f>"金盆岭街道"</f>
        <v>金盆岭街道</v>
      </c>
      <c r="D192" s="3" t="str">
        <f>"夏家冲社区"</f>
        <v>夏家冲社区</v>
      </c>
      <c r="E192" s="3" t="str">
        <f t="shared" si="55"/>
        <v>140</v>
      </c>
      <c r="F192" s="3" t="str">
        <f t="shared" si="79"/>
        <v>100</v>
      </c>
      <c r="G192" s="3" t="str">
        <f t="shared" si="80"/>
        <v>二级</v>
      </c>
    </row>
    <row r="193" customHeight="1" spans="1:7">
      <c r="A193" s="3" t="str">
        <f>"3792"</f>
        <v>3792</v>
      </c>
      <c r="B193" s="3" t="s">
        <v>2486</v>
      </c>
      <c r="C193" s="3" t="str">
        <f t="shared" ref="C193:C198" si="82">"坡子街街道"</f>
        <v>坡子街街道</v>
      </c>
      <c r="D193" s="3" t="str">
        <f>"文庙坪社区"</f>
        <v>文庙坪社区</v>
      </c>
      <c r="E193" s="3" t="str">
        <f t="shared" si="55"/>
        <v>140</v>
      </c>
      <c r="F193" s="3" t="str">
        <f t="shared" si="79"/>
        <v>100</v>
      </c>
      <c r="G193" s="3" t="str">
        <f t="shared" si="80"/>
        <v>二级</v>
      </c>
    </row>
    <row r="194" customHeight="1" spans="1:7">
      <c r="A194" s="3" t="str">
        <f>"3793"</f>
        <v>3793</v>
      </c>
      <c r="B194" s="3" t="s">
        <v>2487</v>
      </c>
      <c r="C194" s="3" t="str">
        <f t="shared" si="81"/>
        <v>新开铺街道</v>
      </c>
      <c r="D194" s="3" t="str">
        <f>"豹子岭社区"</f>
        <v>豹子岭社区</v>
      </c>
      <c r="E194" s="3" t="str">
        <f t="shared" ref="E194:E257" si="83">"140"</f>
        <v>140</v>
      </c>
      <c r="F194" s="3" t="str">
        <f t="shared" si="79"/>
        <v>100</v>
      </c>
      <c r="G194" s="3" t="str">
        <f>"一级"</f>
        <v>一级</v>
      </c>
    </row>
    <row r="195" customHeight="1" spans="1:7">
      <c r="A195" s="3" t="str">
        <f>"3794"</f>
        <v>3794</v>
      </c>
      <c r="B195" s="3" t="s">
        <v>2488</v>
      </c>
      <c r="C195" s="3" t="str">
        <f>"暮云街道"</f>
        <v>暮云街道</v>
      </c>
      <c r="D195" s="3" t="str">
        <f>"许兴村"</f>
        <v>许兴村</v>
      </c>
      <c r="E195" s="3" t="str">
        <f t="shared" si="83"/>
        <v>140</v>
      </c>
      <c r="F195" s="3" t="str">
        <f>"0"</f>
        <v>0</v>
      </c>
      <c r="G195" s="3" t="str">
        <f>"三级"</f>
        <v>三级</v>
      </c>
    </row>
    <row r="196" customHeight="1" spans="1:7">
      <c r="A196" s="3" t="str">
        <f>"3795"</f>
        <v>3795</v>
      </c>
      <c r="B196" s="3" t="s">
        <v>2489</v>
      </c>
      <c r="C196" s="3" t="str">
        <f t="shared" si="81"/>
        <v>新开铺街道</v>
      </c>
      <c r="D196" s="3" t="str">
        <f>"新开铺社区"</f>
        <v>新开铺社区</v>
      </c>
      <c r="E196" s="3" t="str">
        <f t="shared" si="83"/>
        <v>140</v>
      </c>
      <c r="F196" s="3" t="str">
        <f t="shared" ref="F196:F201" si="84">"100"</f>
        <v>100</v>
      </c>
      <c r="G196" s="3" t="str">
        <f t="shared" ref="G196:G200" si="85">"二级"</f>
        <v>二级</v>
      </c>
    </row>
    <row r="197" customHeight="1" spans="1:7">
      <c r="A197" s="3" t="str">
        <f>"3796"</f>
        <v>3796</v>
      </c>
      <c r="B197" s="3" t="s">
        <v>1580</v>
      </c>
      <c r="C197" s="3" t="str">
        <f t="shared" si="82"/>
        <v>坡子街街道</v>
      </c>
      <c r="D197" s="3" t="str">
        <f>"太平街社区"</f>
        <v>太平街社区</v>
      </c>
      <c r="E197" s="3" t="str">
        <f t="shared" si="83"/>
        <v>140</v>
      </c>
      <c r="F197" s="3" t="str">
        <f t="shared" si="84"/>
        <v>100</v>
      </c>
      <c r="G197" s="3" t="str">
        <f>"一级"</f>
        <v>一级</v>
      </c>
    </row>
    <row r="198" customHeight="1" spans="1:7">
      <c r="A198" s="3" t="str">
        <f>"3797"</f>
        <v>3797</v>
      </c>
      <c r="B198" s="3" t="s">
        <v>1768</v>
      </c>
      <c r="C198" s="3" t="str">
        <f t="shared" si="82"/>
        <v>坡子街街道</v>
      </c>
      <c r="D198" s="3" t="str">
        <f>"楚湘社区"</f>
        <v>楚湘社区</v>
      </c>
      <c r="E198" s="3" t="str">
        <f t="shared" si="83"/>
        <v>140</v>
      </c>
      <c r="F198" s="3" t="str">
        <f t="shared" si="84"/>
        <v>100</v>
      </c>
      <c r="G198" s="3" t="str">
        <f t="shared" si="85"/>
        <v>二级</v>
      </c>
    </row>
    <row r="199" customHeight="1" spans="1:7">
      <c r="A199" s="3" t="str">
        <f>"3798"</f>
        <v>3798</v>
      </c>
      <c r="B199" s="3" t="s">
        <v>2490</v>
      </c>
      <c r="C199" s="3" t="str">
        <f>"金盆岭街道"</f>
        <v>金盆岭街道</v>
      </c>
      <c r="D199" s="3" t="str">
        <f>"天剑社区"</f>
        <v>天剑社区</v>
      </c>
      <c r="E199" s="3" t="str">
        <f t="shared" si="83"/>
        <v>140</v>
      </c>
      <c r="F199" s="3" t="str">
        <f t="shared" si="84"/>
        <v>100</v>
      </c>
      <c r="G199" s="3" t="str">
        <f t="shared" si="85"/>
        <v>二级</v>
      </c>
    </row>
    <row r="200" customHeight="1" spans="1:7">
      <c r="A200" s="3" t="str">
        <f>"3799"</f>
        <v>3799</v>
      </c>
      <c r="B200" s="3" t="s">
        <v>2491</v>
      </c>
      <c r="C200" s="3" t="str">
        <f>"赤岭路街道"</f>
        <v>赤岭路街道</v>
      </c>
      <c r="D200" s="3" t="str">
        <f>"白沙花园社区"</f>
        <v>白沙花园社区</v>
      </c>
      <c r="E200" s="3" t="str">
        <f t="shared" si="83"/>
        <v>140</v>
      </c>
      <c r="F200" s="3" t="str">
        <f t="shared" si="84"/>
        <v>100</v>
      </c>
      <c r="G200" s="3" t="str">
        <f t="shared" si="85"/>
        <v>二级</v>
      </c>
    </row>
    <row r="201" customHeight="1" spans="1:7">
      <c r="A201" s="3" t="str">
        <f>"3800"</f>
        <v>3800</v>
      </c>
      <c r="B201" s="3" t="s">
        <v>745</v>
      </c>
      <c r="C201" s="3" t="str">
        <f>"黑石铺街道"</f>
        <v>黑石铺街道</v>
      </c>
      <c r="D201" s="3" t="str">
        <f>"黑石铺社区"</f>
        <v>黑石铺社区</v>
      </c>
      <c r="E201" s="3" t="str">
        <f t="shared" si="83"/>
        <v>140</v>
      </c>
      <c r="F201" s="3" t="str">
        <f t="shared" si="84"/>
        <v>100</v>
      </c>
      <c r="G201" s="3" t="str">
        <f>"一级"</f>
        <v>一级</v>
      </c>
    </row>
    <row r="202" customHeight="1" spans="1:7">
      <c r="A202" s="3" t="str">
        <f>"3801"</f>
        <v>3801</v>
      </c>
      <c r="B202" s="3" t="s">
        <v>618</v>
      </c>
      <c r="C202" s="3" t="str">
        <f>"大托铺街道"</f>
        <v>大托铺街道</v>
      </c>
      <c r="D202" s="3" t="str">
        <f>"兴隆村委会"</f>
        <v>兴隆村委会</v>
      </c>
      <c r="E202" s="3" t="str">
        <f t="shared" si="83"/>
        <v>140</v>
      </c>
      <c r="F202" s="3" t="str">
        <f>"0"</f>
        <v>0</v>
      </c>
      <c r="G202" s="3" t="str">
        <f>"四级"</f>
        <v>四级</v>
      </c>
    </row>
    <row r="203" customHeight="1" spans="1:7">
      <c r="A203" s="3" t="str">
        <f>"3802"</f>
        <v>3802</v>
      </c>
      <c r="B203" s="3" t="s">
        <v>2492</v>
      </c>
      <c r="C203" s="3" t="str">
        <f>"裕南街街道"</f>
        <v>裕南街街道</v>
      </c>
      <c r="D203" s="3" t="str">
        <f>"裕南街社区"</f>
        <v>裕南街社区</v>
      </c>
      <c r="E203" s="3" t="str">
        <f t="shared" si="83"/>
        <v>140</v>
      </c>
      <c r="F203" s="3" t="str">
        <f t="shared" ref="F203:F209" si="86">"100"</f>
        <v>100</v>
      </c>
      <c r="G203" s="3" t="str">
        <f>"一级"</f>
        <v>一级</v>
      </c>
    </row>
    <row r="204" customHeight="1" spans="1:7">
      <c r="A204" s="3" t="str">
        <f>"3803"</f>
        <v>3803</v>
      </c>
      <c r="B204" s="3" t="s">
        <v>2493</v>
      </c>
      <c r="C204" s="3" t="str">
        <f>"裕南街街道"</f>
        <v>裕南街街道</v>
      </c>
      <c r="D204" s="3" t="str">
        <f>"东瓜山社区"</f>
        <v>东瓜山社区</v>
      </c>
      <c r="E204" s="3" t="str">
        <f t="shared" si="83"/>
        <v>140</v>
      </c>
      <c r="F204" s="3" t="str">
        <f t="shared" si="86"/>
        <v>100</v>
      </c>
      <c r="G204" s="3" t="str">
        <f t="shared" ref="G204:G207" si="87">"二级"</f>
        <v>二级</v>
      </c>
    </row>
    <row r="205" customHeight="1" spans="1:7">
      <c r="A205" s="3" t="str">
        <f>"3804"</f>
        <v>3804</v>
      </c>
      <c r="B205" s="3" t="s">
        <v>2494</v>
      </c>
      <c r="C205" s="3" t="str">
        <f>"暮云街道"</f>
        <v>暮云街道</v>
      </c>
      <c r="D205" s="3" t="str">
        <f>"丽发社区"</f>
        <v>丽发社区</v>
      </c>
      <c r="E205" s="3" t="str">
        <f t="shared" si="83"/>
        <v>140</v>
      </c>
      <c r="F205" s="3" t="str">
        <f t="shared" si="86"/>
        <v>100</v>
      </c>
      <c r="G205" s="3" t="str">
        <f t="shared" si="87"/>
        <v>二级</v>
      </c>
    </row>
    <row r="206" customHeight="1" spans="1:7">
      <c r="A206" s="3" t="str">
        <f>"3805"</f>
        <v>3805</v>
      </c>
      <c r="B206" s="3" t="s">
        <v>2495</v>
      </c>
      <c r="C206" s="3" t="str">
        <f>"坡子街街道"</f>
        <v>坡子街街道</v>
      </c>
      <c r="D206" s="3" t="str">
        <f>"登仁桥社区"</f>
        <v>登仁桥社区</v>
      </c>
      <c r="E206" s="3" t="str">
        <f t="shared" si="83"/>
        <v>140</v>
      </c>
      <c r="F206" s="3" t="str">
        <f t="shared" si="86"/>
        <v>100</v>
      </c>
      <c r="G206" s="3" t="str">
        <f t="shared" si="87"/>
        <v>二级</v>
      </c>
    </row>
    <row r="207" customHeight="1" spans="1:7">
      <c r="A207" s="3" t="str">
        <f>"3806"</f>
        <v>3806</v>
      </c>
      <c r="B207" s="3" t="s">
        <v>2180</v>
      </c>
      <c r="C207" s="3" t="str">
        <f>"黑石铺街道"</f>
        <v>黑石铺街道</v>
      </c>
      <c r="D207" s="3" t="str">
        <f>"创谷社区"</f>
        <v>创谷社区</v>
      </c>
      <c r="E207" s="3" t="str">
        <f t="shared" si="83"/>
        <v>140</v>
      </c>
      <c r="F207" s="3" t="str">
        <f t="shared" si="86"/>
        <v>100</v>
      </c>
      <c r="G207" s="3" t="str">
        <f t="shared" si="87"/>
        <v>二级</v>
      </c>
    </row>
    <row r="208" customHeight="1" spans="1:7">
      <c r="A208" s="3" t="str">
        <f>"3807"</f>
        <v>3807</v>
      </c>
      <c r="B208" s="3" t="s">
        <v>2496</v>
      </c>
      <c r="C208" s="3" t="str">
        <f>"城南路街道"</f>
        <v>城南路街道</v>
      </c>
      <c r="D208" s="3" t="str">
        <f>"天心阁社区"</f>
        <v>天心阁社区</v>
      </c>
      <c r="E208" s="3" t="str">
        <f t="shared" si="83"/>
        <v>140</v>
      </c>
      <c r="F208" s="3" t="str">
        <f t="shared" si="86"/>
        <v>100</v>
      </c>
      <c r="G208" s="3" t="str">
        <f t="shared" ref="G208:G212" si="88">"一级"</f>
        <v>一级</v>
      </c>
    </row>
    <row r="209" customHeight="1" spans="1:7">
      <c r="A209" s="3" t="str">
        <f>"3808"</f>
        <v>3808</v>
      </c>
      <c r="B209" s="3" t="s">
        <v>70</v>
      </c>
      <c r="C209" s="3" t="str">
        <f>"坡子街街道"</f>
        <v>坡子街街道</v>
      </c>
      <c r="D209" s="3" t="str">
        <f>"创远社区"</f>
        <v>创远社区</v>
      </c>
      <c r="E209" s="3" t="str">
        <f t="shared" si="83"/>
        <v>140</v>
      </c>
      <c r="F209" s="3" t="str">
        <f t="shared" si="86"/>
        <v>100</v>
      </c>
      <c r="G209" s="3" t="str">
        <f t="shared" si="88"/>
        <v>一级</v>
      </c>
    </row>
    <row r="210" customHeight="1" spans="1:7">
      <c r="A210" s="3" t="str">
        <f>"3809"</f>
        <v>3809</v>
      </c>
      <c r="B210" s="3" t="s">
        <v>2497</v>
      </c>
      <c r="C210" s="3" t="str">
        <f>"新开铺街道"</f>
        <v>新开铺街道</v>
      </c>
      <c r="D210" s="3" t="str">
        <f>"新开铺社区"</f>
        <v>新开铺社区</v>
      </c>
      <c r="E210" s="3" t="str">
        <f t="shared" si="83"/>
        <v>140</v>
      </c>
      <c r="F210" s="3" t="str">
        <f>"0"</f>
        <v>0</v>
      </c>
      <c r="G210" s="3" t="str">
        <f>"四级"</f>
        <v>四级</v>
      </c>
    </row>
    <row r="211" customHeight="1" spans="1:7">
      <c r="A211" s="3" t="str">
        <f>"3810"</f>
        <v>3810</v>
      </c>
      <c r="B211" s="3" t="s">
        <v>2498</v>
      </c>
      <c r="C211" s="3" t="str">
        <f t="shared" ref="C211:C215" si="89">"金盆岭街道"</f>
        <v>金盆岭街道</v>
      </c>
      <c r="D211" s="3" t="str">
        <f>"赤岭路社区"</f>
        <v>赤岭路社区</v>
      </c>
      <c r="E211" s="3" t="str">
        <f t="shared" si="83"/>
        <v>140</v>
      </c>
      <c r="F211" s="3" t="str">
        <f>"0"</f>
        <v>0</v>
      </c>
      <c r="G211" s="3" t="str">
        <f>"三级"</f>
        <v>三级</v>
      </c>
    </row>
    <row r="212" customHeight="1" spans="1:7">
      <c r="A212" s="3" t="str">
        <f>"3811"</f>
        <v>3811</v>
      </c>
      <c r="B212" s="3" t="s">
        <v>2499</v>
      </c>
      <c r="C212" s="3" t="str">
        <f t="shared" si="89"/>
        <v>金盆岭街道</v>
      </c>
      <c r="D212" s="3" t="str">
        <f>"黄土岭社区"</f>
        <v>黄土岭社区</v>
      </c>
      <c r="E212" s="3" t="str">
        <f t="shared" si="83"/>
        <v>140</v>
      </c>
      <c r="F212" s="3" t="str">
        <f t="shared" ref="F212:F215" si="90">"100"</f>
        <v>100</v>
      </c>
      <c r="G212" s="3" t="str">
        <f t="shared" si="88"/>
        <v>一级</v>
      </c>
    </row>
    <row r="213" customHeight="1" spans="1:7">
      <c r="A213" s="3" t="str">
        <f>"3812"</f>
        <v>3812</v>
      </c>
      <c r="B213" s="3" t="s">
        <v>2500</v>
      </c>
      <c r="C213" s="3" t="str">
        <f>"赤岭路街道"</f>
        <v>赤岭路街道</v>
      </c>
      <c r="D213" s="3" t="str">
        <f>"新丰社区"</f>
        <v>新丰社区</v>
      </c>
      <c r="E213" s="3" t="str">
        <f t="shared" si="83"/>
        <v>140</v>
      </c>
      <c r="F213" s="3" t="str">
        <f t="shared" si="90"/>
        <v>100</v>
      </c>
      <c r="G213" s="3" t="str">
        <f t="shared" ref="G213:G215" si="91">"二级"</f>
        <v>二级</v>
      </c>
    </row>
    <row r="214" customHeight="1" spans="1:7">
      <c r="A214" s="3" t="str">
        <f>"3813"</f>
        <v>3813</v>
      </c>
      <c r="B214" s="3" t="s">
        <v>256</v>
      </c>
      <c r="C214" s="3" t="str">
        <f t="shared" ref="C214:C218" si="92">"坡子街街道"</f>
        <v>坡子街街道</v>
      </c>
      <c r="D214" s="3" t="str">
        <f>"坡子街社区"</f>
        <v>坡子街社区</v>
      </c>
      <c r="E214" s="3" t="str">
        <f t="shared" si="83"/>
        <v>140</v>
      </c>
      <c r="F214" s="3" t="str">
        <f t="shared" si="90"/>
        <v>100</v>
      </c>
      <c r="G214" s="3" t="str">
        <f t="shared" si="91"/>
        <v>二级</v>
      </c>
    </row>
    <row r="215" customHeight="1" spans="1:7">
      <c r="A215" s="3" t="str">
        <f>"3814"</f>
        <v>3814</v>
      </c>
      <c r="B215" s="3" t="s">
        <v>1020</v>
      </c>
      <c r="C215" s="3" t="str">
        <f t="shared" si="89"/>
        <v>金盆岭街道</v>
      </c>
      <c r="D215" s="3" t="str">
        <f>"天剑社区"</f>
        <v>天剑社区</v>
      </c>
      <c r="E215" s="3" t="str">
        <f t="shared" si="83"/>
        <v>140</v>
      </c>
      <c r="F215" s="3" t="str">
        <f t="shared" si="90"/>
        <v>100</v>
      </c>
      <c r="G215" s="3" t="str">
        <f t="shared" si="91"/>
        <v>二级</v>
      </c>
    </row>
    <row r="216" customHeight="1" spans="1:7">
      <c r="A216" s="3" t="str">
        <f>"3815"</f>
        <v>3815</v>
      </c>
      <c r="B216" s="3" t="s">
        <v>446</v>
      </c>
      <c r="C216" s="3" t="str">
        <f t="shared" si="92"/>
        <v>坡子街街道</v>
      </c>
      <c r="D216" s="3" t="str">
        <f>"碧湘社区"</f>
        <v>碧湘社区</v>
      </c>
      <c r="E216" s="3" t="str">
        <f t="shared" si="83"/>
        <v>140</v>
      </c>
      <c r="F216" s="3" t="str">
        <f>"0"</f>
        <v>0</v>
      </c>
      <c r="G216" s="3" t="str">
        <f>"四级"</f>
        <v>四级</v>
      </c>
    </row>
    <row r="217" customHeight="1" spans="1:7">
      <c r="A217" s="3" t="str">
        <f>"3816"</f>
        <v>3816</v>
      </c>
      <c r="B217" s="3" t="s">
        <v>2501</v>
      </c>
      <c r="C217" s="3" t="str">
        <f>"金盆岭街道"</f>
        <v>金盆岭街道</v>
      </c>
      <c r="D217" s="3" t="str">
        <f>"天剑社区"</f>
        <v>天剑社区</v>
      </c>
      <c r="E217" s="3" t="str">
        <f t="shared" si="83"/>
        <v>140</v>
      </c>
      <c r="F217" s="3" t="str">
        <f t="shared" ref="F217:F268" si="93">"100"</f>
        <v>100</v>
      </c>
      <c r="G217" s="3" t="str">
        <f t="shared" ref="G217:G222" si="94">"二级"</f>
        <v>二级</v>
      </c>
    </row>
    <row r="218" customHeight="1" spans="1:7">
      <c r="A218" s="3" t="str">
        <f>"3817"</f>
        <v>3817</v>
      </c>
      <c r="B218" s="3" t="s">
        <v>2502</v>
      </c>
      <c r="C218" s="3" t="str">
        <f t="shared" si="92"/>
        <v>坡子街街道</v>
      </c>
      <c r="D218" s="3" t="str">
        <f>"西牌楼社区"</f>
        <v>西牌楼社区</v>
      </c>
      <c r="E218" s="3" t="str">
        <f t="shared" si="83"/>
        <v>140</v>
      </c>
      <c r="F218" s="3" t="str">
        <f t="shared" si="93"/>
        <v>100</v>
      </c>
      <c r="G218" s="3" t="str">
        <f>"一级"</f>
        <v>一级</v>
      </c>
    </row>
    <row r="219" customHeight="1" spans="1:7">
      <c r="A219" s="3" t="str">
        <f>"3818"</f>
        <v>3818</v>
      </c>
      <c r="B219" s="3" t="s">
        <v>2503</v>
      </c>
      <c r="C219" s="3" t="str">
        <f>"暮云街道"</f>
        <v>暮云街道</v>
      </c>
      <c r="D219" s="3" t="str">
        <f>"莲华村"</f>
        <v>莲华村</v>
      </c>
      <c r="E219" s="3" t="str">
        <f t="shared" si="83"/>
        <v>140</v>
      </c>
      <c r="F219" s="3" t="str">
        <f t="shared" si="93"/>
        <v>100</v>
      </c>
      <c r="G219" s="3" t="str">
        <f t="shared" si="94"/>
        <v>二级</v>
      </c>
    </row>
    <row r="220" customHeight="1" spans="1:7">
      <c r="A220" s="3" t="str">
        <f>"3819"</f>
        <v>3819</v>
      </c>
      <c r="B220" s="3" t="s">
        <v>845</v>
      </c>
      <c r="C220" s="3" t="str">
        <f>"坡子街街道"</f>
        <v>坡子街街道</v>
      </c>
      <c r="D220" s="3" t="str">
        <f>"碧湘社区"</f>
        <v>碧湘社区</v>
      </c>
      <c r="E220" s="3" t="str">
        <f t="shared" si="83"/>
        <v>140</v>
      </c>
      <c r="F220" s="3" t="str">
        <f t="shared" si="93"/>
        <v>100</v>
      </c>
      <c r="G220" s="3" t="str">
        <f t="shared" si="94"/>
        <v>二级</v>
      </c>
    </row>
    <row r="221" customHeight="1" spans="1:7">
      <c r="A221" s="3" t="str">
        <f>"3820"</f>
        <v>3820</v>
      </c>
      <c r="B221" s="3" t="s">
        <v>2504</v>
      </c>
      <c r="C221" s="3" t="str">
        <f>"南托街道"</f>
        <v>南托街道</v>
      </c>
      <c r="D221" s="3" t="str">
        <f>"牛角塘村"</f>
        <v>牛角塘村</v>
      </c>
      <c r="E221" s="3" t="str">
        <f t="shared" si="83"/>
        <v>140</v>
      </c>
      <c r="F221" s="3" t="str">
        <f t="shared" si="93"/>
        <v>100</v>
      </c>
      <c r="G221" s="3" t="str">
        <f t="shared" si="94"/>
        <v>二级</v>
      </c>
    </row>
    <row r="222" customHeight="1" spans="1:7">
      <c r="A222" s="3" t="str">
        <f>"3821"</f>
        <v>3821</v>
      </c>
      <c r="B222" s="3" t="s">
        <v>2505</v>
      </c>
      <c r="C222" s="3" t="str">
        <f>"金盆岭街道"</f>
        <v>金盆岭街道</v>
      </c>
      <c r="D222" s="3" t="str">
        <f>"狮子山社区"</f>
        <v>狮子山社区</v>
      </c>
      <c r="E222" s="3" t="str">
        <f t="shared" si="83"/>
        <v>140</v>
      </c>
      <c r="F222" s="3" t="str">
        <f t="shared" si="93"/>
        <v>100</v>
      </c>
      <c r="G222" s="3" t="str">
        <f t="shared" si="94"/>
        <v>二级</v>
      </c>
    </row>
    <row r="223" customHeight="1" spans="1:7">
      <c r="A223" s="3" t="str">
        <f>"3822"</f>
        <v>3822</v>
      </c>
      <c r="B223" s="3" t="s">
        <v>2506</v>
      </c>
      <c r="C223" s="3" t="str">
        <f>"青园街道"</f>
        <v>青园街道</v>
      </c>
      <c r="D223" s="3" t="str">
        <f>"青园社区"</f>
        <v>青园社区</v>
      </c>
      <c r="E223" s="3" t="str">
        <f t="shared" si="83"/>
        <v>140</v>
      </c>
      <c r="F223" s="3" t="str">
        <f t="shared" si="93"/>
        <v>100</v>
      </c>
      <c r="G223" s="3" t="str">
        <f t="shared" ref="G223:G226" si="95">"一级"</f>
        <v>一级</v>
      </c>
    </row>
    <row r="224" customHeight="1" spans="1:7">
      <c r="A224" s="3" t="str">
        <f>"3823"</f>
        <v>3823</v>
      </c>
      <c r="B224" s="3" t="s">
        <v>183</v>
      </c>
      <c r="C224" s="3" t="str">
        <f>"青园街道"</f>
        <v>青园街道</v>
      </c>
      <c r="D224" s="3" t="str">
        <f>"友谊社区"</f>
        <v>友谊社区</v>
      </c>
      <c r="E224" s="3" t="str">
        <f t="shared" si="83"/>
        <v>140</v>
      </c>
      <c r="F224" s="3" t="str">
        <f t="shared" si="93"/>
        <v>100</v>
      </c>
      <c r="G224" s="3" t="str">
        <f t="shared" ref="G224:G231" si="96">"二级"</f>
        <v>二级</v>
      </c>
    </row>
    <row r="225" customHeight="1" spans="1:7">
      <c r="A225" s="3" t="str">
        <f>"3824"</f>
        <v>3824</v>
      </c>
      <c r="B225" s="3" t="s">
        <v>1270</v>
      </c>
      <c r="C225" s="3" t="str">
        <f>"文源街道"</f>
        <v>文源街道</v>
      </c>
      <c r="D225" s="3" t="str">
        <f>"天鸿社区"</f>
        <v>天鸿社区</v>
      </c>
      <c r="E225" s="3" t="str">
        <f t="shared" si="83"/>
        <v>140</v>
      </c>
      <c r="F225" s="3" t="str">
        <f t="shared" si="93"/>
        <v>100</v>
      </c>
      <c r="G225" s="3" t="str">
        <f t="shared" si="95"/>
        <v>一级</v>
      </c>
    </row>
    <row r="226" customHeight="1" spans="1:7">
      <c r="A226" s="3" t="str">
        <f>"3825"</f>
        <v>3825</v>
      </c>
      <c r="B226" s="3" t="s">
        <v>2507</v>
      </c>
      <c r="C226" s="3" t="str">
        <f>"坡子街街道"</f>
        <v>坡子街街道</v>
      </c>
      <c r="D226" s="3" t="str">
        <f>"坡子街社区"</f>
        <v>坡子街社区</v>
      </c>
      <c r="E226" s="3" t="str">
        <f t="shared" si="83"/>
        <v>140</v>
      </c>
      <c r="F226" s="3" t="str">
        <f t="shared" si="93"/>
        <v>100</v>
      </c>
      <c r="G226" s="3" t="str">
        <f t="shared" si="95"/>
        <v>一级</v>
      </c>
    </row>
    <row r="227" customHeight="1" spans="1:7">
      <c r="A227" s="3" t="str">
        <f>"3826"</f>
        <v>3826</v>
      </c>
      <c r="B227" s="3" t="s">
        <v>131</v>
      </c>
      <c r="C227" s="3" t="str">
        <f>"裕南街街道"</f>
        <v>裕南街街道</v>
      </c>
      <c r="D227" s="3" t="str">
        <f>"杏花园社区"</f>
        <v>杏花园社区</v>
      </c>
      <c r="E227" s="3" t="str">
        <f t="shared" si="83"/>
        <v>140</v>
      </c>
      <c r="F227" s="3" t="str">
        <f t="shared" si="93"/>
        <v>100</v>
      </c>
      <c r="G227" s="3" t="str">
        <f t="shared" si="96"/>
        <v>二级</v>
      </c>
    </row>
    <row r="228" customHeight="1" spans="1:7">
      <c r="A228" s="3" t="str">
        <f>"3827"</f>
        <v>3827</v>
      </c>
      <c r="B228" s="3" t="s">
        <v>125</v>
      </c>
      <c r="C228" s="3" t="str">
        <f>"暮云街道"</f>
        <v>暮云街道</v>
      </c>
      <c r="D228" s="3" t="str">
        <f>"怡海社区"</f>
        <v>怡海社区</v>
      </c>
      <c r="E228" s="3" t="str">
        <f t="shared" si="83"/>
        <v>140</v>
      </c>
      <c r="F228" s="3" t="str">
        <f t="shared" si="93"/>
        <v>100</v>
      </c>
      <c r="G228" s="3" t="str">
        <f t="shared" si="96"/>
        <v>二级</v>
      </c>
    </row>
    <row r="229" customHeight="1" spans="1:7">
      <c r="A229" s="3" t="str">
        <f>"3828"</f>
        <v>3828</v>
      </c>
      <c r="B229" s="3" t="s">
        <v>2508</v>
      </c>
      <c r="C229" s="3" t="str">
        <f>"赤岭路街道"</f>
        <v>赤岭路街道</v>
      </c>
      <c r="D229" s="3" t="str">
        <f>"猴子石社区"</f>
        <v>猴子石社区</v>
      </c>
      <c r="E229" s="3" t="str">
        <f t="shared" si="83"/>
        <v>140</v>
      </c>
      <c r="F229" s="3" t="str">
        <f t="shared" si="93"/>
        <v>100</v>
      </c>
      <c r="G229" s="3" t="str">
        <f t="shared" si="96"/>
        <v>二级</v>
      </c>
    </row>
    <row r="230" customHeight="1" spans="1:7">
      <c r="A230" s="3" t="str">
        <f>"3829"</f>
        <v>3829</v>
      </c>
      <c r="B230" s="3" t="s">
        <v>2509</v>
      </c>
      <c r="C230" s="3" t="str">
        <f>"裕南街街道"</f>
        <v>裕南街街道</v>
      </c>
      <c r="D230" s="3" t="str">
        <f>"杏花园社区"</f>
        <v>杏花园社区</v>
      </c>
      <c r="E230" s="3" t="str">
        <f t="shared" si="83"/>
        <v>140</v>
      </c>
      <c r="F230" s="3" t="str">
        <f t="shared" si="93"/>
        <v>100</v>
      </c>
      <c r="G230" s="3" t="str">
        <f t="shared" si="96"/>
        <v>二级</v>
      </c>
    </row>
    <row r="231" customHeight="1" spans="1:7">
      <c r="A231" s="3" t="str">
        <f>"3830"</f>
        <v>3830</v>
      </c>
      <c r="B231" s="3" t="s">
        <v>881</v>
      </c>
      <c r="C231" s="3" t="str">
        <f>"城南路街道"</f>
        <v>城南路街道</v>
      </c>
      <c r="D231" s="3" t="str">
        <f>"吴家坪社区"</f>
        <v>吴家坪社区</v>
      </c>
      <c r="E231" s="3" t="str">
        <f t="shared" si="83"/>
        <v>140</v>
      </c>
      <c r="F231" s="3" t="str">
        <f t="shared" si="93"/>
        <v>100</v>
      </c>
      <c r="G231" s="3" t="str">
        <f t="shared" si="96"/>
        <v>二级</v>
      </c>
    </row>
    <row r="232" customHeight="1" spans="1:7">
      <c r="A232" s="3" t="str">
        <f>"3831"</f>
        <v>3831</v>
      </c>
      <c r="B232" s="3" t="s">
        <v>2510</v>
      </c>
      <c r="C232" s="3" t="str">
        <f>"青园街道"</f>
        <v>青园街道</v>
      </c>
      <c r="D232" s="3" t="str">
        <f>"青园社区"</f>
        <v>青园社区</v>
      </c>
      <c r="E232" s="3" t="str">
        <f t="shared" si="83"/>
        <v>140</v>
      </c>
      <c r="F232" s="3" t="str">
        <f t="shared" si="93"/>
        <v>100</v>
      </c>
      <c r="G232" s="3" t="str">
        <f>"一级"</f>
        <v>一级</v>
      </c>
    </row>
    <row r="233" customHeight="1" spans="1:7">
      <c r="A233" s="3" t="str">
        <f>"3832"</f>
        <v>3832</v>
      </c>
      <c r="B233" s="3" t="s">
        <v>311</v>
      </c>
      <c r="C233" s="3" t="str">
        <f t="shared" ref="C233:C237" si="97">"坡子街街道"</f>
        <v>坡子街街道</v>
      </c>
      <c r="D233" s="3" t="str">
        <f>"登仁桥社区"</f>
        <v>登仁桥社区</v>
      </c>
      <c r="E233" s="3" t="str">
        <f t="shared" si="83"/>
        <v>140</v>
      </c>
      <c r="F233" s="3" t="str">
        <f t="shared" si="93"/>
        <v>100</v>
      </c>
      <c r="G233" s="3" t="str">
        <f t="shared" ref="G233:G242" si="98">"二级"</f>
        <v>二级</v>
      </c>
    </row>
    <row r="234" customHeight="1" spans="1:7">
      <c r="A234" s="3" t="str">
        <f>"3833"</f>
        <v>3833</v>
      </c>
      <c r="B234" s="3" t="s">
        <v>2511</v>
      </c>
      <c r="C234" s="3" t="str">
        <f>"城南路街道"</f>
        <v>城南路街道</v>
      </c>
      <c r="D234" s="3" t="str">
        <f>"吴家坪社区"</f>
        <v>吴家坪社区</v>
      </c>
      <c r="E234" s="3" t="str">
        <f t="shared" si="83"/>
        <v>140</v>
      </c>
      <c r="F234" s="3" t="str">
        <f t="shared" si="93"/>
        <v>100</v>
      </c>
      <c r="G234" s="3" t="str">
        <f t="shared" si="98"/>
        <v>二级</v>
      </c>
    </row>
    <row r="235" customHeight="1" spans="1:7">
      <c r="A235" s="3" t="str">
        <f>"3834"</f>
        <v>3834</v>
      </c>
      <c r="B235" s="3" t="s">
        <v>68</v>
      </c>
      <c r="C235" s="3" t="str">
        <f t="shared" si="97"/>
        <v>坡子街街道</v>
      </c>
      <c r="D235" s="3" t="str">
        <f>"登仁桥社区"</f>
        <v>登仁桥社区</v>
      </c>
      <c r="E235" s="3" t="str">
        <f t="shared" si="83"/>
        <v>140</v>
      </c>
      <c r="F235" s="3" t="str">
        <f t="shared" si="93"/>
        <v>100</v>
      </c>
      <c r="G235" s="3" t="str">
        <f t="shared" si="98"/>
        <v>二级</v>
      </c>
    </row>
    <row r="236" customHeight="1" spans="1:7">
      <c r="A236" s="3" t="str">
        <f>"3835"</f>
        <v>3835</v>
      </c>
      <c r="B236" s="3" t="s">
        <v>82</v>
      </c>
      <c r="C236" s="3" t="str">
        <f t="shared" si="97"/>
        <v>坡子街街道</v>
      </c>
      <c r="D236" s="3" t="str">
        <f>"坡子街社区"</f>
        <v>坡子街社区</v>
      </c>
      <c r="E236" s="3" t="str">
        <f t="shared" si="83"/>
        <v>140</v>
      </c>
      <c r="F236" s="3" t="str">
        <f t="shared" si="93"/>
        <v>100</v>
      </c>
      <c r="G236" s="3" t="str">
        <f t="shared" si="98"/>
        <v>二级</v>
      </c>
    </row>
    <row r="237" customHeight="1" spans="1:7">
      <c r="A237" s="3" t="str">
        <f>"3836"</f>
        <v>3836</v>
      </c>
      <c r="B237" s="3" t="s">
        <v>484</v>
      </c>
      <c r="C237" s="3" t="str">
        <f t="shared" si="97"/>
        <v>坡子街街道</v>
      </c>
      <c r="D237" s="3" t="str">
        <f>"西牌楼社区"</f>
        <v>西牌楼社区</v>
      </c>
      <c r="E237" s="3" t="str">
        <f t="shared" si="83"/>
        <v>140</v>
      </c>
      <c r="F237" s="3" t="str">
        <f t="shared" si="93"/>
        <v>100</v>
      </c>
      <c r="G237" s="3" t="str">
        <f t="shared" si="98"/>
        <v>二级</v>
      </c>
    </row>
    <row r="238" customHeight="1" spans="1:7">
      <c r="A238" s="3" t="str">
        <f>"3837"</f>
        <v>3837</v>
      </c>
      <c r="B238" s="3" t="s">
        <v>208</v>
      </c>
      <c r="C238" s="3" t="str">
        <f>"城南路街道"</f>
        <v>城南路街道</v>
      </c>
      <c r="D238" s="3" t="str">
        <f>"古道巷社区"</f>
        <v>古道巷社区</v>
      </c>
      <c r="E238" s="3" t="str">
        <f t="shared" si="83"/>
        <v>140</v>
      </c>
      <c r="F238" s="3" t="str">
        <f t="shared" si="93"/>
        <v>100</v>
      </c>
      <c r="G238" s="3" t="str">
        <f t="shared" si="98"/>
        <v>二级</v>
      </c>
    </row>
    <row r="239" customHeight="1" spans="1:7">
      <c r="A239" s="3" t="str">
        <f>"3838"</f>
        <v>3838</v>
      </c>
      <c r="B239" s="3" t="s">
        <v>764</v>
      </c>
      <c r="C239" s="3" t="str">
        <f>"裕南街街道"</f>
        <v>裕南街街道</v>
      </c>
      <c r="D239" s="3" t="str">
        <f>"东瓜山社区"</f>
        <v>东瓜山社区</v>
      </c>
      <c r="E239" s="3" t="str">
        <f t="shared" si="83"/>
        <v>140</v>
      </c>
      <c r="F239" s="3" t="str">
        <f t="shared" si="93"/>
        <v>100</v>
      </c>
      <c r="G239" s="3" t="str">
        <f t="shared" si="98"/>
        <v>二级</v>
      </c>
    </row>
    <row r="240" customHeight="1" spans="1:7">
      <c r="A240" s="3" t="str">
        <f>"3839"</f>
        <v>3839</v>
      </c>
      <c r="B240" s="3" t="s">
        <v>2512</v>
      </c>
      <c r="C240" s="3" t="str">
        <f t="shared" ref="C240:C244" si="99">"南托街道"</f>
        <v>南托街道</v>
      </c>
      <c r="D240" s="3" t="str">
        <f>"沿江村"</f>
        <v>沿江村</v>
      </c>
      <c r="E240" s="3" t="str">
        <f t="shared" si="83"/>
        <v>140</v>
      </c>
      <c r="F240" s="3" t="str">
        <f t="shared" si="93"/>
        <v>100</v>
      </c>
      <c r="G240" s="3" t="str">
        <f t="shared" si="98"/>
        <v>二级</v>
      </c>
    </row>
    <row r="241" customHeight="1" spans="1:7">
      <c r="A241" s="3" t="str">
        <f>"3840"</f>
        <v>3840</v>
      </c>
      <c r="B241" s="3" t="s">
        <v>2513</v>
      </c>
      <c r="C241" s="3" t="str">
        <f>"大托铺街道"</f>
        <v>大托铺街道</v>
      </c>
      <c r="D241" s="3" t="str">
        <f>"兴隆村委会"</f>
        <v>兴隆村委会</v>
      </c>
      <c r="E241" s="3" t="str">
        <f t="shared" si="83"/>
        <v>140</v>
      </c>
      <c r="F241" s="3" t="str">
        <f t="shared" si="93"/>
        <v>100</v>
      </c>
      <c r="G241" s="3" t="str">
        <f t="shared" si="98"/>
        <v>二级</v>
      </c>
    </row>
    <row r="242" customHeight="1" spans="1:7">
      <c r="A242" s="3" t="str">
        <f>"3841"</f>
        <v>3841</v>
      </c>
      <c r="B242" s="3" t="s">
        <v>2514</v>
      </c>
      <c r="C242" s="3" t="str">
        <f>"大托铺街道"</f>
        <v>大托铺街道</v>
      </c>
      <c r="D242" s="3" t="str">
        <f>"兴隆村委会"</f>
        <v>兴隆村委会</v>
      </c>
      <c r="E242" s="3" t="str">
        <f t="shared" si="83"/>
        <v>140</v>
      </c>
      <c r="F242" s="3" t="str">
        <f t="shared" si="93"/>
        <v>100</v>
      </c>
      <c r="G242" s="3" t="str">
        <f t="shared" si="98"/>
        <v>二级</v>
      </c>
    </row>
    <row r="243" customHeight="1" spans="1:7">
      <c r="A243" s="3" t="str">
        <f>"3842"</f>
        <v>3842</v>
      </c>
      <c r="B243" s="3" t="s">
        <v>380</v>
      </c>
      <c r="C243" s="3" t="str">
        <f t="shared" si="99"/>
        <v>南托街道</v>
      </c>
      <c r="D243" s="3" t="str">
        <f>"牛角塘村"</f>
        <v>牛角塘村</v>
      </c>
      <c r="E243" s="3" t="str">
        <f t="shared" si="83"/>
        <v>140</v>
      </c>
      <c r="F243" s="3" t="str">
        <f t="shared" si="93"/>
        <v>100</v>
      </c>
      <c r="G243" s="3" t="str">
        <f t="shared" ref="G243:G247" si="100">"一级"</f>
        <v>一级</v>
      </c>
    </row>
    <row r="244" customHeight="1" spans="1:7">
      <c r="A244" s="3" t="str">
        <f>"3843"</f>
        <v>3843</v>
      </c>
      <c r="B244" s="3" t="s">
        <v>1610</v>
      </c>
      <c r="C244" s="3" t="str">
        <f t="shared" si="99"/>
        <v>南托街道</v>
      </c>
      <c r="D244" s="3" t="str">
        <f>"牛角塘村"</f>
        <v>牛角塘村</v>
      </c>
      <c r="E244" s="3" t="str">
        <f t="shared" si="83"/>
        <v>140</v>
      </c>
      <c r="F244" s="3" t="str">
        <f t="shared" si="93"/>
        <v>100</v>
      </c>
      <c r="G244" s="3" t="str">
        <f t="shared" si="100"/>
        <v>一级</v>
      </c>
    </row>
    <row r="245" customHeight="1" spans="1:7">
      <c r="A245" s="3" t="str">
        <f>"3844"</f>
        <v>3844</v>
      </c>
      <c r="B245" s="3" t="s">
        <v>2515</v>
      </c>
      <c r="C245" s="3" t="str">
        <f>"金盆岭街道"</f>
        <v>金盆岭街道</v>
      </c>
      <c r="D245" s="3" t="str">
        <f>"夏家冲社区"</f>
        <v>夏家冲社区</v>
      </c>
      <c r="E245" s="3" t="str">
        <f t="shared" si="83"/>
        <v>140</v>
      </c>
      <c r="F245" s="3" t="str">
        <f t="shared" si="93"/>
        <v>100</v>
      </c>
      <c r="G245" s="3" t="str">
        <f t="shared" ref="G245:G250" si="101">"二级"</f>
        <v>二级</v>
      </c>
    </row>
    <row r="246" customHeight="1" spans="1:7">
      <c r="A246" s="3" t="str">
        <f>"3845"</f>
        <v>3845</v>
      </c>
      <c r="B246" s="3" t="s">
        <v>2516</v>
      </c>
      <c r="C246" s="3" t="str">
        <f>"新开铺街道"</f>
        <v>新开铺街道</v>
      </c>
      <c r="D246" s="3" t="str">
        <f>"新开铺社区"</f>
        <v>新开铺社区</v>
      </c>
      <c r="E246" s="3" t="str">
        <f t="shared" si="83"/>
        <v>140</v>
      </c>
      <c r="F246" s="3" t="str">
        <f t="shared" si="93"/>
        <v>100</v>
      </c>
      <c r="G246" s="3" t="str">
        <f t="shared" si="101"/>
        <v>二级</v>
      </c>
    </row>
    <row r="247" customHeight="1" spans="1:7">
      <c r="A247" s="3" t="str">
        <f>"3846"</f>
        <v>3846</v>
      </c>
      <c r="B247" s="3" t="s">
        <v>2517</v>
      </c>
      <c r="C247" s="3" t="str">
        <f>"坡子街街道"</f>
        <v>坡子街街道</v>
      </c>
      <c r="D247" s="3" t="str">
        <f>"青山祠社区"</f>
        <v>青山祠社区</v>
      </c>
      <c r="E247" s="3" t="str">
        <f t="shared" si="83"/>
        <v>140</v>
      </c>
      <c r="F247" s="3" t="str">
        <f t="shared" si="93"/>
        <v>100</v>
      </c>
      <c r="G247" s="3" t="str">
        <f t="shared" si="100"/>
        <v>一级</v>
      </c>
    </row>
    <row r="248" customHeight="1" spans="1:7">
      <c r="A248" s="3" t="str">
        <f>"3847"</f>
        <v>3847</v>
      </c>
      <c r="B248" s="3" t="s">
        <v>2518</v>
      </c>
      <c r="C248" s="3" t="str">
        <f t="shared" ref="C248:C251" si="102">"文源街道"</f>
        <v>文源街道</v>
      </c>
      <c r="D248" s="3" t="str">
        <f>"文源社区"</f>
        <v>文源社区</v>
      </c>
      <c r="E248" s="3" t="str">
        <f t="shared" si="83"/>
        <v>140</v>
      </c>
      <c r="F248" s="3" t="str">
        <f t="shared" si="93"/>
        <v>100</v>
      </c>
      <c r="G248" s="3" t="str">
        <f t="shared" si="101"/>
        <v>二级</v>
      </c>
    </row>
    <row r="249" customHeight="1" spans="1:7">
      <c r="A249" s="3" t="str">
        <f>"3848"</f>
        <v>3848</v>
      </c>
      <c r="B249" s="3" t="s">
        <v>2519</v>
      </c>
      <c r="C249" s="3" t="str">
        <f t="shared" si="102"/>
        <v>文源街道</v>
      </c>
      <c r="D249" s="3" t="str">
        <f>"梅岭社区"</f>
        <v>梅岭社区</v>
      </c>
      <c r="E249" s="3" t="str">
        <f t="shared" si="83"/>
        <v>140</v>
      </c>
      <c r="F249" s="3" t="str">
        <f t="shared" si="93"/>
        <v>100</v>
      </c>
      <c r="G249" s="3" t="str">
        <f t="shared" si="101"/>
        <v>二级</v>
      </c>
    </row>
    <row r="250" customHeight="1" spans="1:7">
      <c r="A250" s="3" t="str">
        <f>"3849"</f>
        <v>3849</v>
      </c>
      <c r="B250" s="3" t="s">
        <v>2520</v>
      </c>
      <c r="C250" s="3" t="str">
        <f>"赤岭路街道"</f>
        <v>赤岭路街道</v>
      </c>
      <c r="D250" s="3" t="str">
        <f>"猴子石社区"</f>
        <v>猴子石社区</v>
      </c>
      <c r="E250" s="3" t="str">
        <f t="shared" si="83"/>
        <v>140</v>
      </c>
      <c r="F250" s="3" t="str">
        <f t="shared" si="93"/>
        <v>100</v>
      </c>
      <c r="G250" s="3" t="str">
        <f t="shared" si="101"/>
        <v>二级</v>
      </c>
    </row>
    <row r="251" customHeight="1" spans="1:7">
      <c r="A251" s="3" t="str">
        <f>"3850"</f>
        <v>3850</v>
      </c>
      <c r="B251" s="3" t="s">
        <v>367</v>
      </c>
      <c r="C251" s="3" t="str">
        <f t="shared" si="102"/>
        <v>文源街道</v>
      </c>
      <c r="D251" s="3" t="str">
        <f>"文源社区"</f>
        <v>文源社区</v>
      </c>
      <c r="E251" s="3" t="str">
        <f t="shared" si="83"/>
        <v>140</v>
      </c>
      <c r="F251" s="3" t="str">
        <f t="shared" si="93"/>
        <v>100</v>
      </c>
      <c r="G251" s="3" t="str">
        <f>"一级"</f>
        <v>一级</v>
      </c>
    </row>
    <row r="252" customHeight="1" spans="1:7">
      <c r="A252" s="3" t="str">
        <f>"3851"</f>
        <v>3851</v>
      </c>
      <c r="B252" s="3" t="s">
        <v>690</v>
      </c>
      <c r="C252" s="3" t="str">
        <f>"南托街道"</f>
        <v>南托街道</v>
      </c>
      <c r="D252" s="3" t="str">
        <f>"南鑫社区"</f>
        <v>南鑫社区</v>
      </c>
      <c r="E252" s="3" t="str">
        <f t="shared" si="83"/>
        <v>140</v>
      </c>
      <c r="F252" s="3" t="str">
        <f t="shared" si="93"/>
        <v>100</v>
      </c>
      <c r="G252" s="3" t="str">
        <f t="shared" ref="G252:G255" si="103">"二级"</f>
        <v>二级</v>
      </c>
    </row>
    <row r="253" customHeight="1" spans="1:7">
      <c r="A253" s="3" t="str">
        <f>"3852"</f>
        <v>3852</v>
      </c>
      <c r="B253" s="3" t="s">
        <v>2521</v>
      </c>
      <c r="C253" s="3" t="str">
        <f>"桂花坪街道"</f>
        <v>桂花坪街道</v>
      </c>
      <c r="D253" s="3" t="str">
        <f>"九峰苑社区"</f>
        <v>九峰苑社区</v>
      </c>
      <c r="E253" s="3" t="str">
        <f t="shared" si="83"/>
        <v>140</v>
      </c>
      <c r="F253" s="3" t="str">
        <f t="shared" si="93"/>
        <v>100</v>
      </c>
      <c r="G253" s="3" t="str">
        <f t="shared" si="103"/>
        <v>二级</v>
      </c>
    </row>
    <row r="254" customHeight="1" spans="1:7">
      <c r="A254" s="3" t="str">
        <f>"3853"</f>
        <v>3853</v>
      </c>
      <c r="B254" s="3" t="s">
        <v>267</v>
      </c>
      <c r="C254" s="3" t="str">
        <f>"暮云街道"</f>
        <v>暮云街道</v>
      </c>
      <c r="D254" s="3" t="str">
        <f>"许兴村"</f>
        <v>许兴村</v>
      </c>
      <c r="E254" s="3" t="str">
        <f t="shared" si="83"/>
        <v>140</v>
      </c>
      <c r="F254" s="3" t="str">
        <f t="shared" si="93"/>
        <v>100</v>
      </c>
      <c r="G254" s="3" t="str">
        <f t="shared" si="103"/>
        <v>二级</v>
      </c>
    </row>
    <row r="255" customHeight="1" spans="1:7">
      <c r="A255" s="3" t="str">
        <f>"3854"</f>
        <v>3854</v>
      </c>
      <c r="B255" s="3" t="s">
        <v>2522</v>
      </c>
      <c r="C255" s="3" t="str">
        <f>"金盆岭街道"</f>
        <v>金盆岭街道</v>
      </c>
      <c r="D255" s="3" t="str">
        <f>"黄土岭社区"</f>
        <v>黄土岭社区</v>
      </c>
      <c r="E255" s="3" t="str">
        <f t="shared" si="83"/>
        <v>140</v>
      </c>
      <c r="F255" s="3" t="str">
        <f t="shared" si="93"/>
        <v>100</v>
      </c>
      <c r="G255" s="3" t="str">
        <f t="shared" si="103"/>
        <v>二级</v>
      </c>
    </row>
    <row r="256" customHeight="1" spans="1:7">
      <c r="A256" s="3" t="str">
        <f>"3855"</f>
        <v>3855</v>
      </c>
      <c r="B256" s="3" t="s">
        <v>2523</v>
      </c>
      <c r="C256" s="3" t="str">
        <f>"南托街道"</f>
        <v>南托街道</v>
      </c>
      <c r="D256" s="3" t="str">
        <f>"融城社区"</f>
        <v>融城社区</v>
      </c>
      <c r="E256" s="3" t="str">
        <f t="shared" si="83"/>
        <v>140</v>
      </c>
      <c r="F256" s="3" t="str">
        <f t="shared" si="93"/>
        <v>100</v>
      </c>
      <c r="G256" s="3" t="str">
        <f t="shared" ref="G256:G260" si="104">"一级"</f>
        <v>一级</v>
      </c>
    </row>
    <row r="257" customHeight="1" spans="1:7">
      <c r="A257" s="3" t="str">
        <f>"3856"</f>
        <v>3856</v>
      </c>
      <c r="B257" s="3" t="s">
        <v>2524</v>
      </c>
      <c r="C257" s="3" t="str">
        <f>"文源街道"</f>
        <v>文源街道</v>
      </c>
      <c r="D257" s="3" t="str">
        <f>"状元坡社区"</f>
        <v>状元坡社区</v>
      </c>
      <c r="E257" s="3" t="str">
        <f t="shared" si="83"/>
        <v>140</v>
      </c>
      <c r="F257" s="3" t="str">
        <f t="shared" si="93"/>
        <v>100</v>
      </c>
      <c r="G257" s="3" t="str">
        <f t="shared" ref="G257:G264" si="105">"二级"</f>
        <v>二级</v>
      </c>
    </row>
    <row r="258" customHeight="1" spans="1:7">
      <c r="A258" s="3" t="str">
        <f>"3857"</f>
        <v>3857</v>
      </c>
      <c r="B258" s="3" t="s">
        <v>720</v>
      </c>
      <c r="C258" s="3" t="str">
        <f>"坡子街街道"</f>
        <v>坡子街街道</v>
      </c>
      <c r="D258" s="3" t="str">
        <f>"文庙坪社区"</f>
        <v>文庙坪社区</v>
      </c>
      <c r="E258" s="3" t="str">
        <f t="shared" ref="E258:E313" si="106">"140"</f>
        <v>140</v>
      </c>
      <c r="F258" s="3" t="str">
        <f t="shared" si="93"/>
        <v>100</v>
      </c>
      <c r="G258" s="3" t="str">
        <f t="shared" si="104"/>
        <v>一级</v>
      </c>
    </row>
    <row r="259" customHeight="1" spans="1:7">
      <c r="A259" s="3" t="str">
        <f>"3858"</f>
        <v>3858</v>
      </c>
      <c r="B259" s="3" t="s">
        <v>2525</v>
      </c>
      <c r="C259" s="3" t="str">
        <f>"城南路街道"</f>
        <v>城南路街道</v>
      </c>
      <c r="D259" s="3" t="str">
        <f>"古道巷社区"</f>
        <v>古道巷社区</v>
      </c>
      <c r="E259" s="3" t="str">
        <f t="shared" si="106"/>
        <v>140</v>
      </c>
      <c r="F259" s="3" t="str">
        <f t="shared" si="93"/>
        <v>100</v>
      </c>
      <c r="G259" s="3" t="str">
        <f t="shared" si="105"/>
        <v>二级</v>
      </c>
    </row>
    <row r="260" customHeight="1" spans="1:7">
      <c r="A260" s="3" t="str">
        <f>"3859"</f>
        <v>3859</v>
      </c>
      <c r="B260" s="3" t="s">
        <v>2522</v>
      </c>
      <c r="C260" s="3" t="str">
        <f>"裕南街街道"</f>
        <v>裕南街街道</v>
      </c>
      <c r="D260" s="3" t="str">
        <f>"石子冲社区"</f>
        <v>石子冲社区</v>
      </c>
      <c r="E260" s="3" t="str">
        <f t="shared" si="106"/>
        <v>140</v>
      </c>
      <c r="F260" s="3" t="str">
        <f t="shared" si="93"/>
        <v>100</v>
      </c>
      <c r="G260" s="3" t="str">
        <f t="shared" si="104"/>
        <v>一级</v>
      </c>
    </row>
    <row r="261" customHeight="1" spans="1:7">
      <c r="A261" s="3" t="str">
        <f>"3860"</f>
        <v>3860</v>
      </c>
      <c r="B261" s="3" t="s">
        <v>294</v>
      </c>
      <c r="C261" s="3" t="str">
        <f>"坡子街街道"</f>
        <v>坡子街街道</v>
      </c>
      <c r="D261" s="3" t="str">
        <f>"西牌楼社区"</f>
        <v>西牌楼社区</v>
      </c>
      <c r="E261" s="3" t="str">
        <f t="shared" si="106"/>
        <v>140</v>
      </c>
      <c r="F261" s="3" t="str">
        <f t="shared" si="93"/>
        <v>100</v>
      </c>
      <c r="G261" s="3" t="str">
        <f t="shared" si="105"/>
        <v>二级</v>
      </c>
    </row>
    <row r="262" customHeight="1" spans="1:7">
      <c r="A262" s="3" t="str">
        <f>"3861"</f>
        <v>3861</v>
      </c>
      <c r="B262" s="3" t="s">
        <v>1242</v>
      </c>
      <c r="C262" s="3" t="str">
        <f>"城南路街道"</f>
        <v>城南路街道</v>
      </c>
      <c r="D262" s="3" t="str">
        <f>"白沙井社区"</f>
        <v>白沙井社区</v>
      </c>
      <c r="E262" s="3" t="str">
        <f t="shared" si="106"/>
        <v>140</v>
      </c>
      <c r="F262" s="3" t="str">
        <f t="shared" si="93"/>
        <v>100</v>
      </c>
      <c r="G262" s="3" t="str">
        <f t="shared" si="105"/>
        <v>二级</v>
      </c>
    </row>
    <row r="263" customHeight="1" spans="1:7">
      <c r="A263" s="3" t="str">
        <f>"3862"</f>
        <v>3862</v>
      </c>
      <c r="B263" s="3" t="s">
        <v>2526</v>
      </c>
      <c r="C263" s="3" t="str">
        <f>"新开铺街道"</f>
        <v>新开铺街道</v>
      </c>
      <c r="D263" s="3" t="str">
        <f>"桥头社区"</f>
        <v>桥头社区</v>
      </c>
      <c r="E263" s="3" t="str">
        <f t="shared" si="106"/>
        <v>140</v>
      </c>
      <c r="F263" s="3" t="str">
        <f t="shared" si="93"/>
        <v>100</v>
      </c>
      <c r="G263" s="3" t="str">
        <f t="shared" si="105"/>
        <v>二级</v>
      </c>
    </row>
    <row r="264" customHeight="1" spans="1:7">
      <c r="A264" s="3" t="str">
        <f>"3863"</f>
        <v>3863</v>
      </c>
      <c r="B264" s="3" t="s">
        <v>2527</v>
      </c>
      <c r="C264" s="3" t="str">
        <f>"南托街道"</f>
        <v>南托街道</v>
      </c>
      <c r="D264" s="3" t="str">
        <f>"北塘社区"</f>
        <v>北塘社区</v>
      </c>
      <c r="E264" s="3" t="str">
        <f t="shared" si="106"/>
        <v>140</v>
      </c>
      <c r="F264" s="3" t="str">
        <f t="shared" si="93"/>
        <v>100</v>
      </c>
      <c r="G264" s="3" t="str">
        <f t="shared" si="105"/>
        <v>二级</v>
      </c>
    </row>
    <row r="265" customHeight="1" spans="1:7">
      <c r="A265" s="3" t="str">
        <f>"3864"</f>
        <v>3864</v>
      </c>
      <c r="B265" s="3" t="s">
        <v>2528</v>
      </c>
      <c r="C265" s="3" t="str">
        <f>"赤岭路街道"</f>
        <v>赤岭路街道</v>
      </c>
      <c r="D265" s="3" t="str">
        <f>"芙蓉南路社区"</f>
        <v>芙蓉南路社区</v>
      </c>
      <c r="E265" s="3" t="str">
        <f t="shared" si="106"/>
        <v>140</v>
      </c>
      <c r="F265" s="3" t="str">
        <f t="shared" si="93"/>
        <v>100</v>
      </c>
      <c r="G265" s="3" t="str">
        <f>"一级"</f>
        <v>一级</v>
      </c>
    </row>
    <row r="266" customHeight="1" spans="1:7">
      <c r="A266" s="3" t="str">
        <f>"3865"</f>
        <v>3865</v>
      </c>
      <c r="B266" s="3" t="s">
        <v>462</v>
      </c>
      <c r="C266" s="3" t="str">
        <f>"文源街道"</f>
        <v>文源街道</v>
      </c>
      <c r="D266" s="3" t="str">
        <f>"梅岭社区"</f>
        <v>梅岭社区</v>
      </c>
      <c r="E266" s="3" t="str">
        <f t="shared" si="106"/>
        <v>140</v>
      </c>
      <c r="F266" s="3" t="str">
        <f t="shared" si="93"/>
        <v>100</v>
      </c>
      <c r="G266" s="3" t="str">
        <f t="shared" ref="G266:G268" si="107">"二级"</f>
        <v>二级</v>
      </c>
    </row>
    <row r="267" customHeight="1" spans="1:7">
      <c r="A267" s="3" t="str">
        <f>"3866"</f>
        <v>3866</v>
      </c>
      <c r="B267" s="3" t="s">
        <v>2529</v>
      </c>
      <c r="C267" s="3" t="str">
        <f>"裕南街街道"</f>
        <v>裕南街街道</v>
      </c>
      <c r="D267" s="3" t="str">
        <f>"向东南社区"</f>
        <v>向东南社区</v>
      </c>
      <c r="E267" s="3" t="str">
        <f t="shared" si="106"/>
        <v>140</v>
      </c>
      <c r="F267" s="3" t="str">
        <f t="shared" si="93"/>
        <v>100</v>
      </c>
      <c r="G267" s="3" t="str">
        <f t="shared" si="107"/>
        <v>二级</v>
      </c>
    </row>
    <row r="268" customHeight="1" spans="1:7">
      <c r="A268" s="3" t="str">
        <f>"3867"</f>
        <v>3867</v>
      </c>
      <c r="B268" s="3" t="s">
        <v>2530</v>
      </c>
      <c r="C268" s="3" t="str">
        <f>"青园街道"</f>
        <v>青园街道</v>
      </c>
      <c r="D268" s="3" t="str">
        <f>"井湾子社区"</f>
        <v>井湾子社区</v>
      </c>
      <c r="E268" s="3" t="str">
        <f t="shared" si="106"/>
        <v>140</v>
      </c>
      <c r="F268" s="3" t="str">
        <f t="shared" si="93"/>
        <v>100</v>
      </c>
      <c r="G268" s="3" t="str">
        <f t="shared" si="107"/>
        <v>二级</v>
      </c>
    </row>
    <row r="269" customHeight="1" spans="1:7">
      <c r="A269" s="3" t="str">
        <f>"3868"</f>
        <v>3868</v>
      </c>
      <c r="B269" s="3" t="s">
        <v>2531</v>
      </c>
      <c r="C269" s="3" t="str">
        <f>"城南路街道"</f>
        <v>城南路街道</v>
      </c>
      <c r="D269" s="3" t="str">
        <f>"吴家坪社区"</f>
        <v>吴家坪社区</v>
      </c>
      <c r="E269" s="3" t="str">
        <f t="shared" si="106"/>
        <v>140</v>
      </c>
      <c r="F269" s="3" t="str">
        <f>"0"</f>
        <v>0</v>
      </c>
      <c r="G269" s="3" t="str">
        <f>"三级"</f>
        <v>三级</v>
      </c>
    </row>
    <row r="270" customHeight="1" spans="1:7">
      <c r="A270" s="3" t="str">
        <f>"3869"</f>
        <v>3869</v>
      </c>
      <c r="B270" s="3" t="s">
        <v>648</v>
      </c>
      <c r="C270" s="3" t="str">
        <f t="shared" ref="C270:C275" si="108">"南托街道"</f>
        <v>南托街道</v>
      </c>
      <c r="D270" s="3" t="str">
        <f>"滨洲新村"</f>
        <v>滨洲新村</v>
      </c>
      <c r="E270" s="3" t="str">
        <f t="shared" si="106"/>
        <v>140</v>
      </c>
      <c r="F270" s="3" t="str">
        <f t="shared" ref="F270:F272" si="109">"100"</f>
        <v>100</v>
      </c>
      <c r="G270" s="3" t="str">
        <f>"二级"</f>
        <v>二级</v>
      </c>
    </row>
    <row r="271" customHeight="1" spans="1:7">
      <c r="A271" s="3" t="str">
        <f>"3870"</f>
        <v>3870</v>
      </c>
      <c r="B271" s="3" t="s">
        <v>2532</v>
      </c>
      <c r="C271" s="3" t="str">
        <f>"城南路街道"</f>
        <v>城南路街道</v>
      </c>
      <c r="D271" s="3" t="str">
        <f>"古道巷社区"</f>
        <v>古道巷社区</v>
      </c>
      <c r="E271" s="3" t="str">
        <f t="shared" si="106"/>
        <v>140</v>
      </c>
      <c r="F271" s="3" t="str">
        <f t="shared" si="109"/>
        <v>100</v>
      </c>
      <c r="G271" s="3" t="str">
        <f t="shared" ref="G271:G275" si="110">"一级"</f>
        <v>一级</v>
      </c>
    </row>
    <row r="272" customHeight="1" spans="1:7">
      <c r="A272" s="3" t="str">
        <f>"3871"</f>
        <v>3871</v>
      </c>
      <c r="B272" s="3" t="s">
        <v>1244</v>
      </c>
      <c r="C272" s="3" t="str">
        <f>"坡子街街道"</f>
        <v>坡子街街道</v>
      </c>
      <c r="D272" s="3" t="str">
        <f>"文庙坪社区"</f>
        <v>文庙坪社区</v>
      </c>
      <c r="E272" s="3" t="str">
        <f t="shared" si="106"/>
        <v>140</v>
      </c>
      <c r="F272" s="3" t="str">
        <f t="shared" si="109"/>
        <v>100</v>
      </c>
      <c r="G272" s="3" t="str">
        <f t="shared" si="110"/>
        <v>一级</v>
      </c>
    </row>
    <row r="273" customHeight="1" spans="1:7">
      <c r="A273" s="3" t="str">
        <f>"3872"</f>
        <v>3872</v>
      </c>
      <c r="B273" s="3" t="s">
        <v>2533</v>
      </c>
      <c r="C273" s="3" t="str">
        <f>"金盆岭街道"</f>
        <v>金盆岭街道</v>
      </c>
      <c r="D273" s="3" t="str">
        <f>"夏家冲社区"</f>
        <v>夏家冲社区</v>
      </c>
      <c r="E273" s="3" t="str">
        <f t="shared" si="106"/>
        <v>140</v>
      </c>
      <c r="F273" s="3" t="str">
        <f>"0"</f>
        <v>0</v>
      </c>
      <c r="G273" s="3" t="str">
        <f>"四级"</f>
        <v>四级</v>
      </c>
    </row>
    <row r="274" customHeight="1" spans="1:7">
      <c r="A274" s="3" t="str">
        <f>"3873"</f>
        <v>3873</v>
      </c>
      <c r="B274" s="3" t="s">
        <v>2534</v>
      </c>
      <c r="C274" s="3" t="str">
        <f t="shared" si="108"/>
        <v>南托街道</v>
      </c>
      <c r="D274" s="3" t="str">
        <f>"牛角塘社区"</f>
        <v>牛角塘社区</v>
      </c>
      <c r="E274" s="3" t="str">
        <f t="shared" si="106"/>
        <v>140</v>
      </c>
      <c r="F274" s="3" t="str">
        <f t="shared" ref="F274:F276" si="111">"100"</f>
        <v>100</v>
      </c>
      <c r="G274" s="3" t="str">
        <f t="shared" ref="G274:G278" si="112">"二级"</f>
        <v>二级</v>
      </c>
    </row>
    <row r="275" customHeight="1" spans="1:7">
      <c r="A275" s="3" t="str">
        <f>"3874"</f>
        <v>3874</v>
      </c>
      <c r="B275" s="3" t="s">
        <v>2535</v>
      </c>
      <c r="C275" s="3" t="str">
        <f t="shared" si="108"/>
        <v>南托街道</v>
      </c>
      <c r="D275" s="3" t="str">
        <f>"滨洲新村"</f>
        <v>滨洲新村</v>
      </c>
      <c r="E275" s="3" t="str">
        <f t="shared" si="106"/>
        <v>140</v>
      </c>
      <c r="F275" s="3" t="str">
        <f t="shared" si="111"/>
        <v>100</v>
      </c>
      <c r="G275" s="3" t="str">
        <f t="shared" si="110"/>
        <v>一级</v>
      </c>
    </row>
    <row r="276" customHeight="1" spans="1:7">
      <c r="A276" s="3" t="str">
        <f>"3875"</f>
        <v>3875</v>
      </c>
      <c r="B276" s="3" t="s">
        <v>2536</v>
      </c>
      <c r="C276" s="3" t="str">
        <f>"新开铺街道"</f>
        <v>新开铺街道</v>
      </c>
      <c r="D276" s="3" t="str">
        <f>"新开铺社区"</f>
        <v>新开铺社区</v>
      </c>
      <c r="E276" s="3" t="str">
        <f t="shared" si="106"/>
        <v>140</v>
      </c>
      <c r="F276" s="3" t="str">
        <f t="shared" si="111"/>
        <v>100</v>
      </c>
      <c r="G276" s="3" t="str">
        <f t="shared" si="112"/>
        <v>二级</v>
      </c>
    </row>
    <row r="277" customHeight="1" spans="1:7">
      <c r="A277" s="3" t="str">
        <f>"3876"</f>
        <v>3876</v>
      </c>
      <c r="B277" s="3" t="s">
        <v>2030</v>
      </c>
      <c r="C277" s="3" t="str">
        <f>"城南路街道"</f>
        <v>城南路街道</v>
      </c>
      <c r="D277" s="3" t="str">
        <f>"吴家坪社区"</f>
        <v>吴家坪社区</v>
      </c>
      <c r="E277" s="3" t="str">
        <f t="shared" si="106"/>
        <v>140</v>
      </c>
      <c r="F277" s="3" t="str">
        <f>"0"</f>
        <v>0</v>
      </c>
      <c r="G277" s="3" t="str">
        <f>"四级"</f>
        <v>四级</v>
      </c>
    </row>
    <row r="278" customHeight="1" spans="1:7">
      <c r="A278" s="3" t="str">
        <f>"3877"</f>
        <v>3877</v>
      </c>
      <c r="B278" s="3" t="s">
        <v>296</v>
      </c>
      <c r="C278" s="3" t="str">
        <f>"南托街道"</f>
        <v>南托街道</v>
      </c>
      <c r="D278" s="3" t="str">
        <f>"沿江村"</f>
        <v>沿江村</v>
      </c>
      <c r="E278" s="3" t="str">
        <f t="shared" si="106"/>
        <v>140</v>
      </c>
      <c r="F278" s="3" t="str">
        <f t="shared" ref="F278:F289" si="113">"100"</f>
        <v>100</v>
      </c>
      <c r="G278" s="3" t="str">
        <f t="shared" si="112"/>
        <v>二级</v>
      </c>
    </row>
    <row r="279" customHeight="1" spans="1:7">
      <c r="A279" s="3" t="str">
        <f>"3878"</f>
        <v>3878</v>
      </c>
      <c r="B279" s="3" t="s">
        <v>2537</v>
      </c>
      <c r="C279" s="3" t="str">
        <f t="shared" ref="C279:C281" si="114">"暮云街道"</f>
        <v>暮云街道</v>
      </c>
      <c r="D279" s="3" t="str">
        <f>"丽发社区"</f>
        <v>丽发社区</v>
      </c>
      <c r="E279" s="3" t="str">
        <f t="shared" si="106"/>
        <v>140</v>
      </c>
      <c r="F279" s="3" t="str">
        <f t="shared" si="113"/>
        <v>100</v>
      </c>
      <c r="G279" s="3" t="str">
        <f>"一级"</f>
        <v>一级</v>
      </c>
    </row>
    <row r="280" customHeight="1" spans="1:7">
      <c r="A280" s="3" t="str">
        <f>"3879"</f>
        <v>3879</v>
      </c>
      <c r="B280" s="3" t="s">
        <v>39</v>
      </c>
      <c r="C280" s="3" t="str">
        <f t="shared" si="114"/>
        <v>暮云街道</v>
      </c>
      <c r="D280" s="3" t="str">
        <f>"弘高社区"</f>
        <v>弘高社区</v>
      </c>
      <c r="E280" s="3" t="str">
        <f t="shared" si="106"/>
        <v>140</v>
      </c>
      <c r="F280" s="3" t="str">
        <f t="shared" si="113"/>
        <v>100</v>
      </c>
      <c r="G280" s="3" t="str">
        <f t="shared" ref="G280:G285" si="115">"二级"</f>
        <v>二级</v>
      </c>
    </row>
    <row r="281" customHeight="1" spans="1:7">
      <c r="A281" s="3" t="str">
        <f>"3880"</f>
        <v>3880</v>
      </c>
      <c r="B281" s="3" t="s">
        <v>563</v>
      </c>
      <c r="C281" s="3" t="str">
        <f t="shared" si="114"/>
        <v>暮云街道</v>
      </c>
      <c r="D281" s="3" t="str">
        <f>"弘高社区"</f>
        <v>弘高社区</v>
      </c>
      <c r="E281" s="3" t="str">
        <f t="shared" si="106"/>
        <v>140</v>
      </c>
      <c r="F281" s="3" t="str">
        <f t="shared" si="113"/>
        <v>100</v>
      </c>
      <c r="G281" s="3" t="str">
        <f t="shared" si="115"/>
        <v>二级</v>
      </c>
    </row>
    <row r="282" customHeight="1" spans="1:7">
      <c r="A282" s="3" t="str">
        <f>"3881"</f>
        <v>3881</v>
      </c>
      <c r="B282" s="3" t="s">
        <v>2538</v>
      </c>
      <c r="C282" s="3" t="str">
        <f>"坡子街街道"</f>
        <v>坡子街街道</v>
      </c>
      <c r="D282" s="3" t="str">
        <f>"文庙坪社区"</f>
        <v>文庙坪社区</v>
      </c>
      <c r="E282" s="3" t="str">
        <f t="shared" si="106"/>
        <v>140</v>
      </c>
      <c r="F282" s="3" t="str">
        <f t="shared" si="113"/>
        <v>100</v>
      </c>
      <c r="G282" s="3" t="str">
        <f t="shared" si="115"/>
        <v>二级</v>
      </c>
    </row>
    <row r="283" customHeight="1" spans="1:7">
      <c r="A283" s="3" t="str">
        <f>"3882"</f>
        <v>3882</v>
      </c>
      <c r="B283" s="3" t="s">
        <v>2539</v>
      </c>
      <c r="C283" s="3" t="str">
        <f>"裕南街街道"</f>
        <v>裕南街街道</v>
      </c>
      <c r="D283" s="3" t="str">
        <f>"火把山社区"</f>
        <v>火把山社区</v>
      </c>
      <c r="E283" s="3" t="str">
        <f t="shared" si="106"/>
        <v>140</v>
      </c>
      <c r="F283" s="3" t="str">
        <f t="shared" si="113"/>
        <v>100</v>
      </c>
      <c r="G283" s="3" t="str">
        <f t="shared" si="115"/>
        <v>二级</v>
      </c>
    </row>
    <row r="284" customHeight="1" spans="1:7">
      <c r="A284" s="3" t="str">
        <f>"3883"</f>
        <v>3883</v>
      </c>
      <c r="B284" s="3" t="s">
        <v>2540</v>
      </c>
      <c r="C284" s="3" t="str">
        <f>"坡子街街道"</f>
        <v>坡子街街道</v>
      </c>
      <c r="D284" s="3" t="str">
        <f>"西湖社区"</f>
        <v>西湖社区</v>
      </c>
      <c r="E284" s="3" t="str">
        <f t="shared" si="106"/>
        <v>140</v>
      </c>
      <c r="F284" s="3" t="str">
        <f t="shared" si="113"/>
        <v>100</v>
      </c>
      <c r="G284" s="3" t="str">
        <f t="shared" si="115"/>
        <v>二级</v>
      </c>
    </row>
    <row r="285" customHeight="1" spans="1:7">
      <c r="A285" s="3" t="str">
        <f>"3884"</f>
        <v>3884</v>
      </c>
      <c r="B285" s="3" t="s">
        <v>2541</v>
      </c>
      <c r="C285" s="3" t="str">
        <f t="shared" ref="C285:C290" si="116">"南托街道"</f>
        <v>南托街道</v>
      </c>
      <c r="D285" s="3" t="str">
        <f>"牛角塘社区"</f>
        <v>牛角塘社区</v>
      </c>
      <c r="E285" s="3" t="str">
        <f t="shared" si="106"/>
        <v>140</v>
      </c>
      <c r="F285" s="3" t="str">
        <f t="shared" si="113"/>
        <v>100</v>
      </c>
      <c r="G285" s="3" t="str">
        <f t="shared" si="115"/>
        <v>二级</v>
      </c>
    </row>
    <row r="286" customHeight="1" spans="1:7">
      <c r="A286" s="3" t="str">
        <f>"3885"</f>
        <v>3885</v>
      </c>
      <c r="B286" s="3" t="s">
        <v>2542</v>
      </c>
      <c r="C286" s="3" t="str">
        <f>"大托铺街道"</f>
        <v>大托铺街道</v>
      </c>
      <c r="D286" s="3" t="str">
        <f>"新港村委会"</f>
        <v>新港村委会</v>
      </c>
      <c r="E286" s="3" t="str">
        <f t="shared" si="106"/>
        <v>140</v>
      </c>
      <c r="F286" s="3" t="str">
        <f t="shared" si="113"/>
        <v>100</v>
      </c>
      <c r="G286" s="3" t="str">
        <f>"一级"</f>
        <v>一级</v>
      </c>
    </row>
    <row r="287" customHeight="1" spans="1:7">
      <c r="A287" s="3" t="str">
        <f>"3886"</f>
        <v>3886</v>
      </c>
      <c r="B287" s="3" t="s">
        <v>2543</v>
      </c>
      <c r="C287" s="3" t="str">
        <f>"裕南街街道"</f>
        <v>裕南街街道</v>
      </c>
      <c r="D287" s="3" t="str">
        <f>"东瓜山社区"</f>
        <v>东瓜山社区</v>
      </c>
      <c r="E287" s="3" t="str">
        <f t="shared" si="106"/>
        <v>140</v>
      </c>
      <c r="F287" s="3" t="str">
        <f t="shared" si="113"/>
        <v>100</v>
      </c>
      <c r="G287" s="3" t="str">
        <f t="shared" ref="G287:G289" si="117">"二级"</f>
        <v>二级</v>
      </c>
    </row>
    <row r="288" customHeight="1" spans="1:7">
      <c r="A288" s="3" t="str">
        <f>"3887"</f>
        <v>3887</v>
      </c>
      <c r="B288" s="3" t="s">
        <v>2544</v>
      </c>
      <c r="C288" s="3" t="str">
        <f t="shared" si="116"/>
        <v>南托街道</v>
      </c>
      <c r="D288" s="3" t="str">
        <f>"沿江村"</f>
        <v>沿江村</v>
      </c>
      <c r="E288" s="3" t="str">
        <f t="shared" si="106"/>
        <v>140</v>
      </c>
      <c r="F288" s="3" t="str">
        <f t="shared" si="113"/>
        <v>100</v>
      </c>
      <c r="G288" s="3" t="str">
        <f t="shared" si="117"/>
        <v>二级</v>
      </c>
    </row>
    <row r="289" customHeight="1" spans="1:7">
      <c r="A289" s="3" t="str">
        <f>"3888"</f>
        <v>3888</v>
      </c>
      <c r="B289" s="3" t="s">
        <v>2545</v>
      </c>
      <c r="C289" s="3" t="str">
        <f>"城南路街道"</f>
        <v>城南路街道</v>
      </c>
      <c r="D289" s="3" t="str">
        <f>"古道巷社区"</f>
        <v>古道巷社区</v>
      </c>
      <c r="E289" s="3" t="str">
        <f t="shared" si="106"/>
        <v>140</v>
      </c>
      <c r="F289" s="3" t="str">
        <f t="shared" si="113"/>
        <v>100</v>
      </c>
      <c r="G289" s="3" t="str">
        <f t="shared" si="117"/>
        <v>二级</v>
      </c>
    </row>
    <row r="290" customHeight="1" spans="1:7">
      <c r="A290" s="3" t="str">
        <f>"3889"</f>
        <v>3889</v>
      </c>
      <c r="B290" s="3" t="s">
        <v>739</v>
      </c>
      <c r="C290" s="3" t="str">
        <f t="shared" si="116"/>
        <v>南托街道</v>
      </c>
      <c r="D290" s="3" t="str">
        <f>"滨洲新村"</f>
        <v>滨洲新村</v>
      </c>
      <c r="E290" s="3" t="str">
        <f t="shared" si="106"/>
        <v>140</v>
      </c>
      <c r="F290" s="3" t="str">
        <f>"0"</f>
        <v>0</v>
      </c>
      <c r="G290" s="3" t="str">
        <f>"四级"</f>
        <v>四级</v>
      </c>
    </row>
    <row r="291" customHeight="1" spans="1:7">
      <c r="A291" s="3" t="str">
        <f>"3890"</f>
        <v>3890</v>
      </c>
      <c r="B291" s="3" t="s">
        <v>2546</v>
      </c>
      <c r="C291" s="3" t="str">
        <f>"新开铺街道"</f>
        <v>新开铺街道</v>
      </c>
      <c r="D291" s="3" t="str">
        <f>"新开铺社区"</f>
        <v>新开铺社区</v>
      </c>
      <c r="E291" s="3" t="str">
        <f t="shared" si="106"/>
        <v>140</v>
      </c>
      <c r="F291" s="3" t="str">
        <f t="shared" ref="F291:F313" si="118">"100"</f>
        <v>100</v>
      </c>
      <c r="G291" s="3" t="str">
        <f t="shared" ref="G291:G294" si="119">"二级"</f>
        <v>二级</v>
      </c>
    </row>
    <row r="292" customHeight="1" spans="1:7">
      <c r="A292" s="3" t="str">
        <f>"3891"</f>
        <v>3891</v>
      </c>
      <c r="B292" s="3" t="s">
        <v>2547</v>
      </c>
      <c r="C292" s="3" t="str">
        <f>"新开铺街道"</f>
        <v>新开铺街道</v>
      </c>
      <c r="D292" s="3" t="str">
        <f>"新开铺社区"</f>
        <v>新开铺社区</v>
      </c>
      <c r="E292" s="3" t="str">
        <f t="shared" si="106"/>
        <v>140</v>
      </c>
      <c r="F292" s="3" t="str">
        <f t="shared" si="118"/>
        <v>100</v>
      </c>
      <c r="G292" s="3" t="str">
        <f t="shared" si="119"/>
        <v>二级</v>
      </c>
    </row>
    <row r="293" customHeight="1" spans="1:7">
      <c r="A293" s="3" t="str">
        <f>"3892"</f>
        <v>3892</v>
      </c>
      <c r="B293" s="3" t="s">
        <v>139</v>
      </c>
      <c r="C293" s="3" t="str">
        <f>"文源街道"</f>
        <v>文源街道</v>
      </c>
      <c r="D293" s="3" t="str">
        <f>"文源社区"</f>
        <v>文源社区</v>
      </c>
      <c r="E293" s="3" t="str">
        <f t="shared" si="106"/>
        <v>140</v>
      </c>
      <c r="F293" s="3" t="str">
        <f t="shared" si="118"/>
        <v>100</v>
      </c>
      <c r="G293" s="3" t="str">
        <f t="shared" ref="G293:G297" si="120">"一级"</f>
        <v>一级</v>
      </c>
    </row>
    <row r="294" customHeight="1" spans="1:7">
      <c r="A294" s="3" t="str">
        <f>"3893"</f>
        <v>3893</v>
      </c>
      <c r="B294" s="3" t="s">
        <v>849</v>
      </c>
      <c r="C294" s="3" t="str">
        <f>"大托铺街道"</f>
        <v>大托铺街道</v>
      </c>
      <c r="D294" s="3" t="str">
        <f>"桂井村委会"</f>
        <v>桂井村委会</v>
      </c>
      <c r="E294" s="3" t="str">
        <f t="shared" si="106"/>
        <v>140</v>
      </c>
      <c r="F294" s="3" t="str">
        <f t="shared" si="118"/>
        <v>100</v>
      </c>
      <c r="G294" s="3" t="str">
        <f t="shared" si="119"/>
        <v>二级</v>
      </c>
    </row>
    <row r="295" customHeight="1" spans="1:7">
      <c r="A295" s="3" t="str">
        <f>"3894"</f>
        <v>3894</v>
      </c>
      <c r="B295" s="3" t="s">
        <v>2548</v>
      </c>
      <c r="C295" s="3" t="str">
        <f t="shared" ref="C295:C300" si="121">"坡子街街道"</f>
        <v>坡子街街道</v>
      </c>
      <c r="D295" s="3" t="str">
        <f>"青山祠社区"</f>
        <v>青山祠社区</v>
      </c>
      <c r="E295" s="3" t="str">
        <f t="shared" si="106"/>
        <v>140</v>
      </c>
      <c r="F295" s="3" t="str">
        <f t="shared" si="118"/>
        <v>100</v>
      </c>
      <c r="G295" s="3" t="str">
        <f t="shared" si="120"/>
        <v>一级</v>
      </c>
    </row>
    <row r="296" customHeight="1" spans="1:7">
      <c r="A296" s="3" t="str">
        <f>"3895"</f>
        <v>3895</v>
      </c>
      <c r="B296" s="3" t="s">
        <v>2549</v>
      </c>
      <c r="C296" s="3" t="str">
        <f>"先锋街道"</f>
        <v>先锋街道</v>
      </c>
      <c r="D296" s="3" t="str">
        <f>"尚双塘社区"</f>
        <v>尚双塘社区</v>
      </c>
      <c r="E296" s="3" t="str">
        <f t="shared" si="106"/>
        <v>140</v>
      </c>
      <c r="F296" s="3" t="str">
        <f t="shared" si="118"/>
        <v>100</v>
      </c>
      <c r="G296" s="3" t="str">
        <f t="shared" ref="G296:G301" si="122">"二级"</f>
        <v>二级</v>
      </c>
    </row>
    <row r="297" customHeight="1" spans="1:7">
      <c r="A297" s="3" t="str">
        <f>"3896"</f>
        <v>3896</v>
      </c>
      <c r="B297" s="3" t="s">
        <v>2550</v>
      </c>
      <c r="C297" s="3" t="str">
        <f>"裕南街街道"</f>
        <v>裕南街街道</v>
      </c>
      <c r="D297" s="3" t="str">
        <f>"宝塔山社区"</f>
        <v>宝塔山社区</v>
      </c>
      <c r="E297" s="3" t="str">
        <f t="shared" si="106"/>
        <v>140</v>
      </c>
      <c r="F297" s="3" t="str">
        <f t="shared" si="118"/>
        <v>100</v>
      </c>
      <c r="G297" s="3" t="str">
        <f t="shared" si="120"/>
        <v>一级</v>
      </c>
    </row>
    <row r="298" customHeight="1" spans="1:7">
      <c r="A298" s="3" t="str">
        <f>"3897"</f>
        <v>3897</v>
      </c>
      <c r="B298" s="3" t="s">
        <v>2551</v>
      </c>
      <c r="C298" s="3" t="str">
        <f t="shared" si="121"/>
        <v>坡子街街道</v>
      </c>
      <c r="D298" s="3" t="str">
        <f>"登仁桥社区"</f>
        <v>登仁桥社区</v>
      </c>
      <c r="E298" s="3" t="str">
        <f t="shared" si="106"/>
        <v>140</v>
      </c>
      <c r="F298" s="3" t="str">
        <f t="shared" si="118"/>
        <v>100</v>
      </c>
      <c r="G298" s="3" t="str">
        <f t="shared" si="122"/>
        <v>二级</v>
      </c>
    </row>
    <row r="299" customHeight="1" spans="1:7">
      <c r="A299" s="3" t="str">
        <f>"3898"</f>
        <v>3898</v>
      </c>
      <c r="B299" s="3" t="s">
        <v>2552</v>
      </c>
      <c r="C299" s="3" t="str">
        <f>"裕南街街道"</f>
        <v>裕南街街道</v>
      </c>
      <c r="D299" s="3" t="str">
        <f>"火把山社区"</f>
        <v>火把山社区</v>
      </c>
      <c r="E299" s="3" t="str">
        <f t="shared" si="106"/>
        <v>140</v>
      </c>
      <c r="F299" s="3" t="str">
        <f t="shared" si="118"/>
        <v>100</v>
      </c>
      <c r="G299" s="3" t="str">
        <f t="shared" ref="G299:G302" si="123">"一级"</f>
        <v>一级</v>
      </c>
    </row>
    <row r="300" customHeight="1" spans="1:7">
      <c r="A300" s="3" t="str">
        <f>"3899"</f>
        <v>3899</v>
      </c>
      <c r="B300" s="3" t="s">
        <v>2553</v>
      </c>
      <c r="C300" s="3" t="str">
        <f t="shared" si="121"/>
        <v>坡子街街道</v>
      </c>
      <c r="D300" s="3" t="str">
        <f>"坡子街社区"</f>
        <v>坡子街社区</v>
      </c>
      <c r="E300" s="3" t="str">
        <f t="shared" si="106"/>
        <v>140</v>
      </c>
      <c r="F300" s="3" t="str">
        <f t="shared" si="118"/>
        <v>100</v>
      </c>
      <c r="G300" s="3" t="str">
        <f t="shared" si="123"/>
        <v>一级</v>
      </c>
    </row>
    <row r="301" customHeight="1" spans="1:7">
      <c r="A301" s="3" t="str">
        <f>"3900"</f>
        <v>3900</v>
      </c>
      <c r="B301" s="3" t="s">
        <v>2554</v>
      </c>
      <c r="C301" s="3" t="str">
        <f>"城南路街道"</f>
        <v>城南路街道</v>
      </c>
      <c r="D301" s="3" t="str">
        <f>"熙台岭社区"</f>
        <v>熙台岭社区</v>
      </c>
      <c r="E301" s="3" t="str">
        <f t="shared" si="106"/>
        <v>140</v>
      </c>
      <c r="F301" s="3" t="str">
        <f t="shared" si="118"/>
        <v>100</v>
      </c>
      <c r="G301" s="3" t="str">
        <f t="shared" si="122"/>
        <v>二级</v>
      </c>
    </row>
    <row r="302" customHeight="1" spans="1:7">
      <c r="A302" s="3" t="str">
        <f>"3901"</f>
        <v>3901</v>
      </c>
      <c r="B302" s="3" t="s">
        <v>1327</v>
      </c>
      <c r="C302" s="3" t="str">
        <f>"南托街道"</f>
        <v>南托街道</v>
      </c>
      <c r="D302" s="3" t="str">
        <f>"牛角塘社区"</f>
        <v>牛角塘社区</v>
      </c>
      <c r="E302" s="3" t="str">
        <f t="shared" si="106"/>
        <v>140</v>
      </c>
      <c r="F302" s="3" t="str">
        <f t="shared" si="118"/>
        <v>100</v>
      </c>
      <c r="G302" s="3" t="str">
        <f t="shared" si="123"/>
        <v>一级</v>
      </c>
    </row>
    <row r="303" customHeight="1" spans="1:7">
      <c r="A303" s="3" t="str">
        <f>"3902"</f>
        <v>3902</v>
      </c>
      <c r="B303" s="3" t="s">
        <v>418</v>
      </c>
      <c r="C303" s="3" t="str">
        <f>"南托街道"</f>
        <v>南托街道</v>
      </c>
      <c r="D303" s="3" t="str">
        <f>"牛角塘社区"</f>
        <v>牛角塘社区</v>
      </c>
      <c r="E303" s="3" t="str">
        <f t="shared" si="106"/>
        <v>140</v>
      </c>
      <c r="F303" s="3" t="str">
        <f t="shared" si="118"/>
        <v>100</v>
      </c>
      <c r="G303" s="3" t="str">
        <f t="shared" ref="G303:G305" si="124">"二级"</f>
        <v>二级</v>
      </c>
    </row>
    <row r="304" customHeight="1" spans="1:7">
      <c r="A304" s="3" t="str">
        <f>"3903"</f>
        <v>3903</v>
      </c>
      <c r="B304" s="3" t="s">
        <v>2555</v>
      </c>
      <c r="C304" s="3" t="str">
        <f>"裕南街街道"</f>
        <v>裕南街街道</v>
      </c>
      <c r="D304" s="3" t="str">
        <f>"向东南社区"</f>
        <v>向东南社区</v>
      </c>
      <c r="E304" s="3" t="str">
        <f t="shared" si="106"/>
        <v>140</v>
      </c>
      <c r="F304" s="3" t="str">
        <f t="shared" si="118"/>
        <v>100</v>
      </c>
      <c r="G304" s="3" t="str">
        <f t="shared" si="124"/>
        <v>二级</v>
      </c>
    </row>
    <row r="305" customHeight="1" spans="1:7">
      <c r="A305" s="3" t="str">
        <f>"3904"</f>
        <v>3904</v>
      </c>
      <c r="B305" s="3" t="s">
        <v>2556</v>
      </c>
      <c r="C305" s="3" t="str">
        <f>"坡子街街道"</f>
        <v>坡子街街道</v>
      </c>
      <c r="D305" s="3" t="str">
        <f>"太平街社区"</f>
        <v>太平街社区</v>
      </c>
      <c r="E305" s="3" t="str">
        <f t="shared" si="106"/>
        <v>140</v>
      </c>
      <c r="F305" s="3" t="str">
        <f t="shared" si="118"/>
        <v>100</v>
      </c>
      <c r="G305" s="3" t="str">
        <f t="shared" si="124"/>
        <v>二级</v>
      </c>
    </row>
    <row r="306" customHeight="1" spans="1:7">
      <c r="A306" s="3" t="str">
        <f>"3905"</f>
        <v>3905</v>
      </c>
      <c r="B306" s="3" t="s">
        <v>1665</v>
      </c>
      <c r="C306" s="3" t="str">
        <f>"黑石铺街道"</f>
        <v>黑石铺街道</v>
      </c>
      <c r="D306" s="3" t="str">
        <f>"铭安社区"</f>
        <v>铭安社区</v>
      </c>
      <c r="E306" s="3" t="str">
        <f t="shared" si="106"/>
        <v>140</v>
      </c>
      <c r="F306" s="3" t="str">
        <f t="shared" si="118"/>
        <v>100</v>
      </c>
      <c r="G306" s="3" t="str">
        <f t="shared" ref="G306:G311" si="125">"一级"</f>
        <v>一级</v>
      </c>
    </row>
    <row r="307" customHeight="1" spans="1:7">
      <c r="A307" s="3" t="str">
        <f>"3906"</f>
        <v>3906</v>
      </c>
      <c r="B307" s="3" t="s">
        <v>2557</v>
      </c>
      <c r="C307" s="3" t="str">
        <f>"黑石铺街道"</f>
        <v>黑石铺街道</v>
      </c>
      <c r="D307" s="3" t="str">
        <f>"创谷社区"</f>
        <v>创谷社区</v>
      </c>
      <c r="E307" s="3" t="str">
        <f t="shared" si="106"/>
        <v>140</v>
      </c>
      <c r="F307" s="3" t="str">
        <f t="shared" si="118"/>
        <v>100</v>
      </c>
      <c r="G307" s="3" t="str">
        <f t="shared" ref="G307:G312" si="126">"二级"</f>
        <v>二级</v>
      </c>
    </row>
    <row r="308" customHeight="1" spans="1:7">
      <c r="A308" s="3" t="str">
        <f>"3907"</f>
        <v>3907</v>
      </c>
      <c r="B308" s="3" t="s">
        <v>2558</v>
      </c>
      <c r="C308" s="3" t="str">
        <f>"坡子街街道"</f>
        <v>坡子街街道</v>
      </c>
      <c r="D308" s="3" t="str">
        <f>"创远社区"</f>
        <v>创远社区</v>
      </c>
      <c r="E308" s="3" t="str">
        <f t="shared" si="106"/>
        <v>140</v>
      </c>
      <c r="F308" s="3" t="str">
        <f t="shared" si="118"/>
        <v>100</v>
      </c>
      <c r="G308" s="3" t="str">
        <f t="shared" si="125"/>
        <v>一级</v>
      </c>
    </row>
    <row r="309" customHeight="1" spans="1:7">
      <c r="A309" s="3" t="str">
        <f>"3908"</f>
        <v>3908</v>
      </c>
      <c r="B309" s="3" t="s">
        <v>2559</v>
      </c>
      <c r="C309" s="3" t="str">
        <f>"青园街道"</f>
        <v>青园街道</v>
      </c>
      <c r="D309" s="3" t="str">
        <f>"青园社区"</f>
        <v>青园社区</v>
      </c>
      <c r="E309" s="3" t="str">
        <f t="shared" si="106"/>
        <v>140</v>
      </c>
      <c r="F309" s="3" t="str">
        <f t="shared" si="118"/>
        <v>100</v>
      </c>
      <c r="G309" s="3" t="str">
        <f t="shared" si="126"/>
        <v>二级</v>
      </c>
    </row>
    <row r="310" customHeight="1" spans="1:7">
      <c r="A310" s="3" t="str">
        <f>"3909"</f>
        <v>3909</v>
      </c>
      <c r="B310" s="3" t="s">
        <v>110</v>
      </c>
      <c r="C310" s="3" t="str">
        <f>"大托铺街道"</f>
        <v>大托铺街道</v>
      </c>
      <c r="D310" s="3" t="str">
        <f>"黄合村委会"</f>
        <v>黄合村委会</v>
      </c>
      <c r="E310" s="3" t="str">
        <f t="shared" si="106"/>
        <v>140</v>
      </c>
      <c r="F310" s="3" t="str">
        <f t="shared" si="118"/>
        <v>100</v>
      </c>
      <c r="G310" s="3" t="str">
        <f t="shared" si="125"/>
        <v>一级</v>
      </c>
    </row>
    <row r="311" customHeight="1" spans="1:7">
      <c r="A311" s="3" t="str">
        <f>"3910"</f>
        <v>3910</v>
      </c>
      <c r="B311" s="3" t="s">
        <v>76</v>
      </c>
      <c r="C311" s="3" t="str">
        <f>"暮云街道"</f>
        <v>暮云街道</v>
      </c>
      <c r="D311" s="3" t="str">
        <f>"华月湖社区"</f>
        <v>华月湖社区</v>
      </c>
      <c r="E311" s="3" t="str">
        <f t="shared" si="106"/>
        <v>140</v>
      </c>
      <c r="F311" s="3" t="str">
        <f t="shared" si="118"/>
        <v>100</v>
      </c>
      <c r="G311" s="3" t="str">
        <f t="shared" si="125"/>
        <v>一级</v>
      </c>
    </row>
    <row r="312" customHeight="1" spans="1:7">
      <c r="A312" s="3" t="str">
        <f>"3911"</f>
        <v>3911</v>
      </c>
      <c r="B312" s="3" t="s">
        <v>722</v>
      </c>
      <c r="C312" s="3" t="str">
        <f>"南托街道"</f>
        <v>南托街道</v>
      </c>
      <c r="D312" s="3" t="str">
        <f>"牛角塘村"</f>
        <v>牛角塘村</v>
      </c>
      <c r="E312" s="3" t="str">
        <f t="shared" si="106"/>
        <v>140</v>
      </c>
      <c r="F312" s="3" t="str">
        <f t="shared" si="118"/>
        <v>100</v>
      </c>
      <c r="G312" s="3" t="str">
        <f t="shared" si="126"/>
        <v>二级</v>
      </c>
    </row>
    <row r="313" customHeight="1" spans="1:7">
      <c r="A313" s="3" t="str">
        <f>"3912"</f>
        <v>3912</v>
      </c>
      <c r="B313" s="3" t="s">
        <v>2045</v>
      </c>
      <c r="C313" s="3" t="str">
        <f>"暮云街道"</f>
        <v>暮云街道</v>
      </c>
      <c r="D313" s="3" t="str">
        <f>"高云社区"</f>
        <v>高云社区</v>
      </c>
      <c r="E313" s="3" t="str">
        <f t="shared" si="106"/>
        <v>140</v>
      </c>
      <c r="F313" s="3" t="str">
        <f t="shared" si="118"/>
        <v>100</v>
      </c>
      <c r="G313" s="3" t="str">
        <f>"一级"</f>
        <v>一级</v>
      </c>
    </row>
    <row r="314" customHeight="1" spans="1:7">
      <c r="A314" s="6"/>
      <c r="B314" s="6"/>
      <c r="C314" s="6"/>
      <c r="D314" s="6"/>
      <c r="E314" s="6"/>
      <c r="F314" s="6"/>
      <c r="G314" s="6"/>
    </row>
    <row r="315" customHeight="1" spans="1:7">
      <c r="A315" s="6"/>
      <c r="B315" s="6"/>
      <c r="C315" s="6"/>
      <c r="D315" s="6"/>
      <c r="E315" s="6"/>
      <c r="F315" s="6"/>
      <c r="G315" s="6"/>
    </row>
    <row r="316" customHeight="1" spans="1:7">
      <c r="A316" s="6"/>
      <c r="B316" s="6"/>
      <c r="C316" s="6"/>
      <c r="D316" s="6"/>
      <c r="E316" s="6"/>
      <c r="F316" s="6"/>
      <c r="G316" s="6"/>
    </row>
    <row r="317" customHeight="1" spans="1:7">
      <c r="A317" s="6"/>
      <c r="B317" s="6"/>
      <c r="C317" s="6"/>
      <c r="D317" s="6"/>
      <c r="E317" s="6"/>
      <c r="F317" s="6"/>
      <c r="G317" s="6"/>
    </row>
    <row r="318" customHeight="1" spans="1:7">
      <c r="A318" s="6"/>
      <c r="B318" s="6"/>
      <c r="C318" s="6"/>
      <c r="D318" s="6"/>
      <c r="E318" s="6"/>
      <c r="F318" s="6"/>
      <c r="G318" s="6"/>
    </row>
    <row r="319" customHeight="1" spans="1:7">
      <c r="A319" s="6"/>
      <c r="B319" s="6"/>
      <c r="C319" s="6"/>
      <c r="D319" s="6"/>
      <c r="E319" s="6"/>
      <c r="F319" s="6"/>
      <c r="G319" s="6"/>
    </row>
    <row r="320" customHeight="1" spans="1:7">
      <c r="A320" s="6"/>
      <c r="B320" s="6"/>
      <c r="C320" s="6"/>
      <c r="D320" s="6"/>
      <c r="E320" s="6"/>
      <c r="F320" s="6"/>
      <c r="G320" s="6"/>
    </row>
    <row r="321" customHeight="1" spans="1:7">
      <c r="A321" s="6"/>
      <c r="B321" s="6"/>
      <c r="C321" s="6"/>
      <c r="D321" s="6"/>
      <c r="E321" s="6"/>
      <c r="F321" s="6"/>
      <c r="G321" s="6"/>
    </row>
    <row r="322" customHeight="1" spans="1:7">
      <c r="A322" s="6"/>
      <c r="B322" s="6"/>
      <c r="C322" s="6"/>
      <c r="D322" s="6"/>
      <c r="E322" s="6"/>
      <c r="F322" s="6"/>
      <c r="G322" s="6"/>
    </row>
    <row r="323" customHeight="1" spans="1:7">
      <c r="A323" s="6"/>
      <c r="B323" s="6"/>
      <c r="C323" s="6"/>
      <c r="D323" s="6"/>
      <c r="E323" s="6"/>
      <c r="F323" s="6"/>
      <c r="G323" s="6"/>
    </row>
    <row r="324" customHeight="1" spans="1:7">
      <c r="A324" s="6"/>
      <c r="B324" s="6"/>
      <c r="C324" s="6"/>
      <c r="D324" s="6"/>
      <c r="E324" s="6"/>
      <c r="F324" s="6"/>
      <c r="G324" s="6"/>
    </row>
    <row r="325" customHeight="1" spans="1:7">
      <c r="A325" s="6"/>
      <c r="B325" s="6"/>
      <c r="C325" s="6"/>
      <c r="D325" s="6"/>
      <c r="E325" s="6"/>
      <c r="F325" s="6"/>
      <c r="G325" s="6"/>
    </row>
    <row r="326" customHeight="1" spans="1:7">
      <c r="A326" s="6"/>
      <c r="B326" s="6"/>
      <c r="C326" s="6"/>
      <c r="D326" s="6"/>
      <c r="E326" s="6"/>
      <c r="F326" s="6"/>
      <c r="G326" s="6"/>
    </row>
    <row r="327" customHeight="1" spans="1:7">
      <c r="A327" s="6"/>
      <c r="B327" s="6"/>
      <c r="C327" s="6"/>
      <c r="D327" s="6"/>
      <c r="E327" s="6"/>
      <c r="F327" s="6"/>
      <c r="G327" s="6"/>
    </row>
    <row r="328" customHeight="1" spans="1:7">
      <c r="A328" s="6"/>
      <c r="B328" s="6"/>
      <c r="C328" s="6"/>
      <c r="D328" s="6"/>
      <c r="E328" s="6"/>
      <c r="F328" s="6"/>
      <c r="G328" s="6"/>
    </row>
    <row r="329" customHeight="1" spans="1:7">
      <c r="A329" s="6"/>
      <c r="B329" s="6"/>
      <c r="C329" s="6"/>
      <c r="D329" s="6"/>
      <c r="E329" s="6"/>
      <c r="F329" s="6"/>
      <c r="G329" s="6"/>
    </row>
    <row r="330" customHeight="1" spans="1:7">
      <c r="A330" s="6"/>
      <c r="B330" s="6"/>
      <c r="C330" s="6"/>
      <c r="D330" s="6"/>
      <c r="E330" s="6"/>
      <c r="F330" s="6"/>
      <c r="G330" s="6"/>
    </row>
    <row r="331" customHeight="1" spans="1:7">
      <c r="A331" s="6"/>
      <c r="B331" s="6"/>
      <c r="C331" s="6"/>
      <c r="D331" s="6"/>
      <c r="E331" s="6"/>
      <c r="F331" s="6"/>
      <c r="G331" s="6"/>
    </row>
    <row r="332" customHeight="1" spans="1:7">
      <c r="A332" s="6"/>
      <c r="B332" s="6"/>
      <c r="C332" s="6"/>
      <c r="D332" s="6"/>
      <c r="E332" s="6"/>
      <c r="F332" s="6"/>
      <c r="G332" s="6"/>
    </row>
    <row r="333" customHeight="1" spans="1:7">
      <c r="A333" s="6"/>
      <c r="B333" s="6"/>
      <c r="C333" s="6"/>
      <c r="D333" s="6"/>
      <c r="E333" s="6"/>
      <c r="F333" s="6"/>
      <c r="G333" s="6"/>
    </row>
    <row r="334" customHeight="1" spans="1:7">
      <c r="A334" s="6"/>
      <c r="B334" s="6"/>
      <c r="C334" s="6"/>
      <c r="D334" s="6"/>
      <c r="E334" s="6"/>
      <c r="F334" s="6"/>
      <c r="G334" s="6"/>
    </row>
    <row r="335" customHeight="1" spans="1:7">
      <c r="A335" s="6"/>
      <c r="B335" s="6"/>
      <c r="C335" s="6"/>
      <c r="D335" s="6"/>
      <c r="E335" s="6"/>
      <c r="F335" s="6"/>
      <c r="G335" s="6"/>
    </row>
    <row r="336" customHeight="1" spans="1:7">
      <c r="A336" s="6"/>
      <c r="B336" s="6"/>
      <c r="C336" s="6"/>
      <c r="D336" s="6"/>
      <c r="E336" s="6"/>
      <c r="F336" s="6"/>
      <c r="G336" s="6"/>
    </row>
    <row r="337" customHeight="1" spans="1:7">
      <c r="A337" s="6"/>
      <c r="B337" s="6"/>
      <c r="C337" s="6"/>
      <c r="D337" s="6"/>
      <c r="E337" s="6"/>
      <c r="F337" s="6"/>
      <c r="G337" s="6"/>
    </row>
    <row r="338" customHeight="1" spans="1:7">
      <c r="A338" s="6"/>
      <c r="B338" s="6"/>
      <c r="C338" s="6"/>
      <c r="D338" s="6"/>
      <c r="E338" s="6"/>
      <c r="F338" s="6"/>
      <c r="G338" s="6"/>
    </row>
    <row r="339" customHeight="1" spans="1:7">
      <c r="A339" s="6"/>
      <c r="B339" s="6"/>
      <c r="C339" s="6"/>
      <c r="D339" s="6"/>
      <c r="E339" s="6"/>
      <c r="F339" s="6"/>
      <c r="G339" s="6"/>
    </row>
    <row r="340" customHeight="1" spans="1:7">
      <c r="A340" s="6"/>
      <c r="B340" s="6"/>
      <c r="C340" s="6"/>
      <c r="D340" s="6"/>
      <c r="E340" s="6"/>
      <c r="F340" s="6"/>
      <c r="G340" s="6"/>
    </row>
    <row r="341" customHeight="1" spans="1:7">
      <c r="A341" s="6"/>
      <c r="B341" s="6"/>
      <c r="C341" s="6"/>
      <c r="D341" s="6"/>
      <c r="E341" s="6"/>
      <c r="F341" s="6"/>
      <c r="G341" s="6"/>
    </row>
    <row r="342" customHeight="1" spans="1:7">
      <c r="A342" s="6"/>
      <c r="B342" s="6"/>
      <c r="C342" s="6"/>
      <c r="D342" s="6"/>
      <c r="E342" s="6"/>
      <c r="F342" s="6"/>
      <c r="G342" s="6"/>
    </row>
    <row r="343" customHeight="1" spans="1:7">
      <c r="A343" s="6"/>
      <c r="B343" s="6"/>
      <c r="C343" s="6"/>
      <c r="D343" s="6"/>
      <c r="E343" s="6"/>
      <c r="F343" s="6"/>
      <c r="G343" s="6"/>
    </row>
    <row r="344" customHeight="1" spans="1:7">
      <c r="A344" s="6"/>
      <c r="B344" s="6"/>
      <c r="C344" s="6"/>
      <c r="D344" s="6"/>
      <c r="E344" s="6"/>
      <c r="F344" s="6"/>
      <c r="G344" s="6"/>
    </row>
    <row r="345" customHeight="1" spans="1:7">
      <c r="A345" s="6"/>
      <c r="B345" s="6"/>
      <c r="C345" s="6"/>
      <c r="D345" s="6"/>
      <c r="E345" s="6"/>
      <c r="F345" s="6"/>
      <c r="G345" s="6"/>
    </row>
    <row r="346" customHeight="1" spans="1:7">
      <c r="A346" s="6"/>
      <c r="B346" s="6"/>
      <c r="C346" s="6"/>
      <c r="D346" s="6"/>
      <c r="E346" s="6"/>
      <c r="F346" s="6"/>
      <c r="G346" s="6"/>
    </row>
    <row r="347" customHeight="1" spans="1:7">
      <c r="A347" s="6"/>
      <c r="B347" s="6"/>
      <c r="C347" s="6"/>
      <c r="D347" s="6"/>
      <c r="E347" s="6"/>
      <c r="F347" s="6"/>
      <c r="G347" s="6"/>
    </row>
    <row r="348" customHeight="1" spans="1:7">
      <c r="A348" s="6"/>
      <c r="B348" s="6"/>
      <c r="C348" s="6"/>
      <c r="D348" s="6"/>
      <c r="E348" s="6"/>
      <c r="F348" s="6"/>
      <c r="G348" s="6"/>
    </row>
    <row r="349" customHeight="1" spans="1:7">
      <c r="A349" s="6"/>
      <c r="B349" s="6"/>
      <c r="C349" s="6"/>
      <c r="D349" s="6"/>
      <c r="E349" s="6"/>
      <c r="F349" s="6"/>
      <c r="G349" s="6"/>
    </row>
    <row r="350" customHeight="1" spans="1:7">
      <c r="A350" s="6"/>
      <c r="B350" s="6"/>
      <c r="C350" s="6"/>
      <c r="D350" s="6"/>
      <c r="E350" s="6"/>
      <c r="F350" s="6"/>
      <c r="G350" s="6"/>
    </row>
    <row r="351" customHeight="1" spans="1:7">
      <c r="A351" s="6"/>
      <c r="B351" s="6"/>
      <c r="C351" s="6"/>
      <c r="D351" s="6"/>
      <c r="E351" s="6"/>
      <c r="F351" s="6"/>
      <c r="G351" s="6"/>
    </row>
    <row r="352" customHeight="1" spans="1:7">
      <c r="A352" s="6"/>
      <c r="B352" s="6"/>
      <c r="C352" s="6"/>
      <c r="D352" s="6"/>
      <c r="E352" s="6"/>
      <c r="F352" s="6"/>
      <c r="G352" s="6"/>
    </row>
    <row r="353" customHeight="1" spans="1:7">
      <c r="A353" s="6"/>
      <c r="B353" s="6"/>
      <c r="C353" s="6"/>
      <c r="D353" s="6"/>
      <c r="E353" s="6"/>
      <c r="F353" s="6"/>
      <c r="G353" s="6"/>
    </row>
    <row r="354" customHeight="1" spans="1:7">
      <c r="A354" s="6"/>
      <c r="B354" s="6"/>
      <c r="C354" s="6"/>
      <c r="D354" s="6"/>
      <c r="E354" s="6"/>
      <c r="F354" s="6"/>
      <c r="G354" s="6"/>
    </row>
    <row r="355" customHeight="1" spans="1:7">
      <c r="A355" s="6"/>
      <c r="B355" s="6"/>
      <c r="C355" s="6"/>
      <c r="D355" s="6"/>
      <c r="E355" s="6"/>
      <c r="F355" s="6"/>
      <c r="G355" s="6"/>
    </row>
    <row r="356" customHeight="1" spans="1:7">
      <c r="A356" s="6"/>
      <c r="B356" s="6"/>
      <c r="C356" s="6"/>
      <c r="D356" s="6"/>
      <c r="E356" s="6"/>
      <c r="F356" s="6"/>
      <c r="G356" s="6"/>
    </row>
    <row r="357" customHeight="1" spans="1:7">
      <c r="A357" s="6"/>
      <c r="B357" s="6"/>
      <c r="C357" s="6"/>
      <c r="D357" s="6"/>
      <c r="E357" s="6"/>
      <c r="F357" s="6"/>
      <c r="G357" s="6"/>
    </row>
    <row r="358" customHeight="1" spans="1:7">
      <c r="A358" s="6"/>
      <c r="B358" s="6"/>
      <c r="C358" s="6"/>
      <c r="D358" s="6"/>
      <c r="E358" s="6"/>
      <c r="F358" s="6"/>
      <c r="G358" s="6"/>
    </row>
    <row r="359" customHeight="1" spans="1:7">
      <c r="A359" s="6"/>
      <c r="B359" s="6"/>
      <c r="C359" s="6"/>
      <c r="D359" s="6"/>
      <c r="E359" s="6"/>
      <c r="F359" s="6"/>
      <c r="G359" s="6"/>
    </row>
    <row r="360" customHeight="1" spans="1:7">
      <c r="A360" s="6"/>
      <c r="B360" s="6"/>
      <c r="C360" s="6"/>
      <c r="D360" s="6"/>
      <c r="E360" s="6"/>
      <c r="F360" s="6"/>
      <c r="G360" s="6"/>
    </row>
    <row r="361" customHeight="1" spans="1:7">
      <c r="A361" s="6"/>
      <c r="B361" s="6"/>
      <c r="C361" s="6"/>
      <c r="D361" s="6"/>
      <c r="E361" s="6"/>
      <c r="F361" s="6"/>
      <c r="G361" s="6"/>
    </row>
    <row r="362" customHeight="1" spans="1:7">
      <c r="A362" s="6"/>
      <c r="B362" s="6"/>
      <c r="C362" s="6"/>
      <c r="D362" s="6"/>
      <c r="E362" s="6"/>
      <c r="F362" s="6"/>
      <c r="G362" s="6"/>
    </row>
    <row r="363" customHeight="1" spans="1:7">
      <c r="A363" s="6"/>
      <c r="B363" s="6"/>
      <c r="C363" s="6"/>
      <c r="D363" s="6"/>
      <c r="E363" s="6"/>
      <c r="F363" s="6"/>
      <c r="G363" s="6"/>
    </row>
    <row r="364" customHeight="1" spans="1:7">
      <c r="A364" s="6"/>
      <c r="B364" s="6"/>
      <c r="C364" s="6"/>
      <c r="D364" s="6"/>
      <c r="E364" s="6"/>
      <c r="F364" s="6"/>
      <c r="G364" s="6"/>
    </row>
    <row r="365" customHeight="1" spans="1:7">
      <c r="A365" s="6"/>
      <c r="B365" s="6"/>
      <c r="C365" s="6"/>
      <c r="D365" s="6"/>
      <c r="E365" s="6"/>
      <c r="F365" s="6"/>
      <c r="G365" s="6"/>
    </row>
    <row r="366" customHeight="1" spans="1:7">
      <c r="A366" s="6"/>
      <c r="B366" s="6"/>
      <c r="C366" s="6"/>
      <c r="D366" s="6"/>
      <c r="E366" s="6"/>
      <c r="F366" s="6"/>
      <c r="G366" s="6"/>
    </row>
    <row r="367" customHeight="1" spans="1:7">
      <c r="A367" s="6"/>
      <c r="B367" s="6"/>
      <c r="C367" s="6"/>
      <c r="D367" s="6"/>
      <c r="E367" s="6"/>
      <c r="F367" s="6"/>
      <c r="G367" s="6"/>
    </row>
    <row r="368" customHeight="1" spans="1:7">
      <c r="A368" s="6"/>
      <c r="B368" s="6"/>
      <c r="C368" s="6"/>
      <c r="D368" s="6"/>
      <c r="E368" s="6"/>
      <c r="F368" s="6"/>
      <c r="G368" s="6"/>
    </row>
    <row r="369" customHeight="1" spans="1:7">
      <c r="A369" s="6"/>
      <c r="B369" s="6"/>
      <c r="C369" s="6"/>
      <c r="D369" s="6"/>
      <c r="E369" s="6"/>
      <c r="F369" s="6"/>
      <c r="G369" s="6"/>
    </row>
    <row r="370" customHeight="1" spans="1:7">
      <c r="A370" s="6"/>
      <c r="B370" s="6"/>
      <c r="C370" s="6"/>
      <c r="D370" s="6"/>
      <c r="E370" s="6"/>
      <c r="F370" s="6"/>
      <c r="G370" s="6"/>
    </row>
    <row r="371" customHeight="1" spans="1:7">
      <c r="A371" s="6"/>
      <c r="B371" s="6"/>
      <c r="C371" s="6"/>
      <c r="D371" s="6"/>
      <c r="E371" s="6"/>
      <c r="F371" s="6"/>
      <c r="G371" s="6"/>
    </row>
    <row r="372" customHeight="1" spans="1:7">
      <c r="A372" s="6"/>
      <c r="B372" s="6"/>
      <c r="C372" s="6"/>
      <c r="D372" s="6"/>
      <c r="E372" s="6"/>
      <c r="F372" s="6"/>
      <c r="G372" s="6"/>
    </row>
    <row r="373" customHeight="1" spans="1:7">
      <c r="A373" s="6"/>
      <c r="B373" s="6"/>
      <c r="C373" s="6"/>
      <c r="D373" s="6"/>
      <c r="E373" s="6"/>
      <c r="F373" s="6"/>
      <c r="G373" s="6"/>
    </row>
    <row r="374" customHeight="1" spans="1:7">
      <c r="A374" s="6"/>
      <c r="B374" s="6"/>
      <c r="C374" s="6"/>
      <c r="D374" s="6"/>
      <c r="E374" s="6"/>
      <c r="F374" s="6"/>
      <c r="G374" s="6"/>
    </row>
    <row r="375" customHeight="1" spans="1:7">
      <c r="A375" s="6"/>
      <c r="B375" s="6"/>
      <c r="C375" s="6"/>
      <c r="D375" s="6"/>
      <c r="E375" s="6"/>
      <c r="F375" s="6"/>
      <c r="G375" s="6"/>
    </row>
    <row r="376" customHeight="1" spans="1:7">
      <c r="A376" s="6"/>
      <c r="B376" s="6"/>
      <c r="C376" s="6"/>
      <c r="D376" s="6"/>
      <c r="E376" s="6"/>
      <c r="F376" s="6"/>
      <c r="G376" s="6"/>
    </row>
    <row r="377" customHeight="1" spans="1:7">
      <c r="A377" s="6"/>
      <c r="B377" s="6"/>
      <c r="C377" s="6"/>
      <c r="D377" s="6"/>
      <c r="E377" s="6"/>
      <c r="F377" s="6"/>
      <c r="G377" s="6"/>
    </row>
    <row r="378" customHeight="1" spans="1:7">
      <c r="A378" s="6"/>
      <c r="B378" s="6"/>
      <c r="C378" s="6"/>
      <c r="D378" s="6"/>
      <c r="E378" s="6"/>
      <c r="F378" s="6"/>
      <c r="G378" s="6"/>
    </row>
    <row r="379" customHeight="1" spans="1:7">
      <c r="A379" s="6"/>
      <c r="B379" s="6"/>
      <c r="C379" s="6"/>
      <c r="D379" s="6"/>
      <c r="E379" s="6"/>
      <c r="F379" s="6"/>
      <c r="G379" s="6"/>
    </row>
    <row r="380" customHeight="1" spans="1:7">
      <c r="A380" s="6"/>
      <c r="B380" s="6"/>
      <c r="C380" s="6"/>
      <c r="D380" s="6"/>
      <c r="E380" s="6"/>
      <c r="F380" s="6"/>
      <c r="G380" s="6"/>
    </row>
    <row r="381" customHeight="1" spans="1:7">
      <c r="A381" s="6"/>
      <c r="B381" s="6"/>
      <c r="C381" s="6"/>
      <c r="D381" s="6"/>
      <c r="E381" s="6"/>
      <c r="F381" s="6"/>
      <c r="G381" s="6"/>
    </row>
    <row r="382" customHeight="1" spans="1:7">
      <c r="A382" s="6"/>
      <c r="B382" s="6"/>
      <c r="C382" s="6"/>
      <c r="D382" s="6"/>
      <c r="E382" s="6"/>
      <c r="F382" s="6"/>
      <c r="G382" s="6"/>
    </row>
    <row r="383" customHeight="1" spans="1:7">
      <c r="A383" s="6"/>
      <c r="B383" s="6"/>
      <c r="C383" s="6"/>
      <c r="D383" s="6"/>
      <c r="E383" s="6"/>
      <c r="F383" s="6"/>
      <c r="G383" s="6"/>
    </row>
    <row r="384" customHeight="1" spans="1:7">
      <c r="A384" s="6"/>
      <c r="B384" s="6"/>
      <c r="C384" s="6"/>
      <c r="D384" s="6"/>
      <c r="E384" s="6"/>
      <c r="F384" s="6"/>
      <c r="G384" s="6"/>
    </row>
    <row r="385" customHeight="1" spans="1:7">
      <c r="A385" s="6"/>
      <c r="B385" s="6"/>
      <c r="C385" s="6"/>
      <c r="D385" s="6"/>
      <c r="E385" s="6"/>
      <c r="F385" s="6"/>
      <c r="G385" s="6"/>
    </row>
    <row r="386" customHeight="1" spans="1:7">
      <c r="A386" s="6"/>
      <c r="B386" s="6"/>
      <c r="C386" s="6"/>
      <c r="D386" s="6"/>
      <c r="E386" s="6"/>
      <c r="F386" s="6"/>
      <c r="G386" s="6"/>
    </row>
    <row r="387" customHeight="1" spans="1:7">
      <c r="A387" s="6"/>
      <c r="B387" s="6"/>
      <c r="C387" s="6"/>
      <c r="D387" s="6"/>
      <c r="E387" s="6"/>
      <c r="F387" s="6"/>
      <c r="G387" s="6"/>
    </row>
    <row r="388" customHeight="1" spans="1:7">
      <c r="A388" s="6"/>
      <c r="B388" s="6"/>
      <c r="C388" s="6"/>
      <c r="D388" s="6"/>
      <c r="E388" s="6"/>
      <c r="F388" s="6"/>
      <c r="G388" s="6"/>
    </row>
    <row r="389" customHeight="1" spans="1:7">
      <c r="A389" s="6"/>
      <c r="B389" s="6"/>
      <c r="C389" s="6"/>
      <c r="D389" s="6"/>
      <c r="E389" s="6"/>
      <c r="F389" s="6"/>
      <c r="G389" s="6"/>
    </row>
    <row r="390" customHeight="1" spans="1:7">
      <c r="A390" s="6"/>
      <c r="B390" s="6"/>
      <c r="C390" s="6"/>
      <c r="D390" s="6"/>
      <c r="E390" s="6"/>
      <c r="F390" s="6"/>
      <c r="G390" s="6"/>
    </row>
    <row r="391" customHeight="1" spans="1:7">
      <c r="A391" s="6"/>
      <c r="B391" s="6"/>
      <c r="C391" s="6"/>
      <c r="D391" s="6"/>
      <c r="E391" s="6"/>
      <c r="F391" s="6"/>
      <c r="G391" s="6"/>
    </row>
    <row r="392" customHeight="1" spans="1:7">
      <c r="A392" s="6"/>
      <c r="B392" s="6"/>
      <c r="C392" s="6"/>
      <c r="D392" s="6"/>
      <c r="E392" s="6"/>
      <c r="F392" s="6"/>
      <c r="G392" s="6"/>
    </row>
    <row r="393" customHeight="1" spans="1:7">
      <c r="A393" s="6"/>
      <c r="B393" s="6"/>
      <c r="C393" s="6"/>
      <c r="D393" s="6"/>
      <c r="E393" s="6"/>
      <c r="F393" s="6"/>
      <c r="G393" s="6"/>
    </row>
    <row r="394" customHeight="1" spans="1:7">
      <c r="A394" s="6"/>
      <c r="B394" s="6"/>
      <c r="C394" s="6"/>
      <c r="D394" s="6"/>
      <c r="E394" s="6"/>
      <c r="F394" s="6"/>
      <c r="G394" s="6"/>
    </row>
    <row r="395" customHeight="1" spans="1:7">
      <c r="A395" s="6"/>
      <c r="B395" s="6"/>
      <c r="C395" s="6"/>
      <c r="D395" s="6"/>
      <c r="E395" s="6"/>
      <c r="F395" s="6"/>
      <c r="G395" s="6"/>
    </row>
    <row r="396" customHeight="1" spans="1:7">
      <c r="A396" s="6"/>
      <c r="B396" s="6"/>
      <c r="C396" s="6"/>
      <c r="D396" s="6"/>
      <c r="E396" s="6"/>
      <c r="F396" s="6"/>
      <c r="G396" s="6"/>
    </row>
    <row r="397" customHeight="1" spans="1:7">
      <c r="A397" s="6"/>
      <c r="B397" s="6"/>
      <c r="C397" s="6"/>
      <c r="D397" s="6"/>
      <c r="E397" s="6"/>
      <c r="F397" s="6"/>
      <c r="G397" s="6"/>
    </row>
    <row r="398" customHeight="1" spans="1:7">
      <c r="A398" s="6"/>
      <c r="B398" s="6"/>
      <c r="C398" s="6"/>
      <c r="D398" s="6"/>
      <c r="E398" s="6"/>
      <c r="F398" s="6"/>
      <c r="G398" s="6"/>
    </row>
    <row r="399" customHeight="1" spans="1:7">
      <c r="A399" s="6"/>
      <c r="B399" s="6"/>
      <c r="C399" s="6"/>
      <c r="D399" s="6"/>
      <c r="E399" s="6"/>
      <c r="F399" s="6"/>
      <c r="G399" s="6"/>
    </row>
    <row r="400" customHeight="1" spans="1:7">
      <c r="A400" s="6"/>
      <c r="B400" s="6"/>
      <c r="C400" s="6"/>
      <c r="D400" s="6"/>
      <c r="E400" s="6"/>
      <c r="F400" s="6"/>
      <c r="G400" s="6"/>
    </row>
    <row r="401" customHeight="1" spans="1:7">
      <c r="A401" s="6"/>
      <c r="B401" s="6"/>
      <c r="C401" s="6"/>
      <c r="D401" s="6"/>
      <c r="E401" s="6"/>
      <c r="F401" s="6"/>
      <c r="G401" s="6"/>
    </row>
    <row r="402" customHeight="1" spans="1:7">
      <c r="A402" s="6"/>
      <c r="B402" s="6"/>
      <c r="C402" s="6"/>
      <c r="D402" s="6"/>
      <c r="E402" s="6"/>
      <c r="F402" s="6"/>
      <c r="G402" s="6"/>
    </row>
    <row r="403" customHeight="1" spans="1:7">
      <c r="A403" s="6"/>
      <c r="B403" s="6"/>
      <c r="C403" s="6"/>
      <c r="D403" s="6"/>
      <c r="E403" s="6"/>
      <c r="F403" s="6"/>
      <c r="G403" s="6"/>
    </row>
    <row r="404" customHeight="1" spans="1:7">
      <c r="A404" s="6"/>
      <c r="B404" s="6"/>
      <c r="C404" s="6"/>
      <c r="D404" s="6"/>
      <c r="E404" s="6"/>
      <c r="F404" s="6"/>
      <c r="G404" s="6"/>
    </row>
    <row r="405" customHeight="1" spans="1:7">
      <c r="A405" s="6"/>
      <c r="B405" s="6"/>
      <c r="C405" s="6"/>
      <c r="D405" s="6"/>
      <c r="E405" s="6"/>
      <c r="F405" s="6"/>
      <c r="G405" s="6"/>
    </row>
    <row r="406" customHeight="1" spans="1:7">
      <c r="A406" s="6"/>
      <c r="B406" s="6"/>
      <c r="C406" s="6"/>
      <c r="D406" s="6"/>
      <c r="E406" s="6"/>
      <c r="F406" s="6"/>
      <c r="G406" s="6"/>
    </row>
    <row r="407" customHeight="1" spans="1:7">
      <c r="A407" s="6"/>
      <c r="B407" s="6"/>
      <c r="C407" s="6"/>
      <c r="D407" s="6"/>
      <c r="E407" s="6"/>
      <c r="F407" s="6"/>
      <c r="G407" s="6"/>
    </row>
    <row r="408" customHeight="1" spans="1:7">
      <c r="A408" s="6"/>
      <c r="B408" s="6"/>
      <c r="C408" s="6"/>
      <c r="D408" s="6"/>
      <c r="E408" s="6"/>
      <c r="F408" s="6"/>
      <c r="G408" s="6"/>
    </row>
    <row r="409" customHeight="1" spans="1:7">
      <c r="A409" s="6"/>
      <c r="B409" s="6"/>
      <c r="C409" s="6"/>
      <c r="D409" s="6"/>
      <c r="E409" s="6"/>
      <c r="F409" s="6"/>
      <c r="G409" s="6"/>
    </row>
    <row r="410" customHeight="1" spans="1:7">
      <c r="A410" s="6"/>
      <c r="B410" s="6"/>
      <c r="C410" s="6"/>
      <c r="D410" s="6"/>
      <c r="E410" s="6"/>
      <c r="F410" s="6"/>
      <c r="G410" s="6"/>
    </row>
    <row r="411" customHeight="1" spans="1:7">
      <c r="A411" s="6"/>
      <c r="B411" s="6"/>
      <c r="C411" s="6"/>
      <c r="D411" s="6"/>
      <c r="E411" s="6"/>
      <c r="F411" s="6"/>
      <c r="G411" s="6"/>
    </row>
    <row r="412" customHeight="1" spans="1:7">
      <c r="A412" s="6"/>
      <c r="B412" s="6"/>
      <c r="C412" s="6"/>
      <c r="D412" s="6"/>
      <c r="E412" s="6"/>
      <c r="F412" s="6"/>
      <c r="G412" s="6"/>
    </row>
    <row r="413" customHeight="1" spans="1:7">
      <c r="A413" s="6"/>
      <c r="B413" s="6"/>
      <c r="C413" s="6"/>
      <c r="D413" s="6"/>
      <c r="E413" s="6"/>
      <c r="F413" s="6"/>
      <c r="G413" s="6"/>
    </row>
    <row r="414" customHeight="1" spans="1:7">
      <c r="A414" s="6"/>
      <c r="B414" s="6"/>
      <c r="C414" s="6"/>
      <c r="D414" s="6"/>
      <c r="E414" s="6"/>
      <c r="F414" s="6"/>
      <c r="G414" s="6"/>
    </row>
    <row r="415" customHeight="1" spans="1:7">
      <c r="A415" s="6"/>
      <c r="B415" s="6"/>
      <c r="C415" s="6"/>
      <c r="D415" s="6"/>
      <c r="E415" s="6"/>
      <c r="F415" s="6"/>
      <c r="G415" s="6"/>
    </row>
    <row r="416" customHeight="1" spans="1:7">
      <c r="A416" s="6"/>
      <c r="B416" s="6"/>
      <c r="C416" s="6"/>
      <c r="D416" s="6"/>
      <c r="E416" s="6"/>
      <c r="F416" s="6"/>
      <c r="G416" s="6"/>
    </row>
    <row r="417" customHeight="1" spans="1:7">
      <c r="A417" s="6"/>
      <c r="B417" s="6"/>
      <c r="C417" s="6"/>
      <c r="D417" s="6"/>
      <c r="E417" s="6"/>
      <c r="F417" s="6"/>
      <c r="G417" s="6"/>
    </row>
    <row r="418" customHeight="1" spans="1:7">
      <c r="A418" s="6"/>
      <c r="B418" s="6"/>
      <c r="C418" s="6"/>
      <c r="D418" s="6"/>
      <c r="E418" s="6"/>
      <c r="F418" s="6"/>
      <c r="G418" s="6"/>
    </row>
    <row r="419" customHeight="1" spans="1:7">
      <c r="A419" s="6"/>
      <c r="B419" s="6"/>
      <c r="C419" s="6"/>
      <c r="D419" s="6"/>
      <c r="E419" s="6"/>
      <c r="F419" s="6"/>
      <c r="G419" s="6"/>
    </row>
    <row r="420" customHeight="1" spans="1:7">
      <c r="A420" s="6"/>
      <c r="B420" s="6"/>
      <c r="C420" s="6"/>
      <c r="D420" s="6"/>
      <c r="E420" s="6"/>
      <c r="F420" s="6"/>
      <c r="G420" s="6"/>
    </row>
    <row r="421" customHeight="1" spans="1:7">
      <c r="A421" s="6"/>
      <c r="B421" s="6"/>
      <c r="C421" s="6"/>
      <c r="D421" s="6"/>
      <c r="E421" s="6"/>
      <c r="F421" s="6"/>
      <c r="G421" s="6"/>
    </row>
    <row r="422" customHeight="1" spans="1:7">
      <c r="A422" s="6"/>
      <c r="B422" s="6"/>
      <c r="C422" s="6"/>
      <c r="D422" s="6"/>
      <c r="E422" s="6"/>
      <c r="F422" s="6"/>
      <c r="G422" s="6"/>
    </row>
    <row r="423" customHeight="1" spans="1:7">
      <c r="A423" s="6"/>
      <c r="B423" s="6"/>
      <c r="C423" s="6"/>
      <c r="D423" s="6"/>
      <c r="E423" s="6"/>
      <c r="F423" s="6"/>
      <c r="G423" s="6"/>
    </row>
    <row r="424" customHeight="1" spans="1:7">
      <c r="A424" s="6"/>
      <c r="B424" s="6"/>
      <c r="C424" s="6"/>
      <c r="D424" s="6"/>
      <c r="E424" s="6"/>
      <c r="F424" s="6"/>
      <c r="G424" s="6"/>
    </row>
    <row r="425" customHeight="1" spans="1:7">
      <c r="A425" s="6"/>
      <c r="B425" s="6"/>
      <c r="C425" s="6"/>
      <c r="D425" s="6"/>
      <c r="E425" s="6"/>
      <c r="F425" s="6"/>
      <c r="G425" s="6"/>
    </row>
    <row r="426" customHeight="1" spans="1:7">
      <c r="A426" s="6"/>
      <c r="B426" s="6"/>
      <c r="C426" s="6"/>
      <c r="D426" s="6"/>
      <c r="E426" s="6"/>
      <c r="F426" s="6"/>
      <c r="G426" s="6"/>
    </row>
    <row r="427" customHeight="1" spans="1:7">
      <c r="A427" s="6"/>
      <c r="B427" s="6"/>
      <c r="C427" s="6"/>
      <c r="D427" s="6"/>
      <c r="E427" s="6"/>
      <c r="F427" s="6"/>
      <c r="G427" s="6"/>
    </row>
    <row r="428" customHeight="1" spans="1:7">
      <c r="A428" s="6"/>
      <c r="B428" s="6"/>
      <c r="C428" s="6"/>
      <c r="D428" s="6"/>
      <c r="E428" s="6"/>
      <c r="F428" s="6"/>
      <c r="G428" s="6"/>
    </row>
    <row r="429" customHeight="1" spans="1:7">
      <c r="A429" s="6"/>
      <c r="B429" s="6"/>
      <c r="C429" s="6"/>
      <c r="D429" s="6"/>
      <c r="E429" s="6"/>
      <c r="F429" s="6"/>
      <c r="G429" s="6"/>
    </row>
    <row r="430" customHeight="1" spans="1:7">
      <c r="A430" s="6"/>
      <c r="B430" s="6"/>
      <c r="C430" s="6"/>
      <c r="D430" s="6"/>
      <c r="E430" s="6"/>
      <c r="F430" s="6"/>
      <c r="G430" s="6"/>
    </row>
    <row r="431" customHeight="1" spans="1:7">
      <c r="A431" s="6"/>
      <c r="B431" s="6"/>
      <c r="C431" s="6"/>
      <c r="D431" s="6"/>
      <c r="E431" s="6"/>
      <c r="F431" s="6"/>
      <c r="G431" s="6"/>
    </row>
    <row r="432" customHeight="1" spans="1:7">
      <c r="A432" s="6"/>
      <c r="B432" s="6"/>
      <c r="C432" s="6"/>
      <c r="D432" s="6"/>
      <c r="E432" s="6"/>
      <c r="F432" s="6"/>
      <c r="G432" s="6"/>
    </row>
    <row r="433" customHeight="1" spans="1:7">
      <c r="A433" s="6"/>
      <c r="B433" s="6"/>
      <c r="C433" s="6"/>
      <c r="D433" s="6"/>
      <c r="E433" s="6"/>
      <c r="F433" s="6"/>
      <c r="G433" s="6"/>
    </row>
    <row r="434" customHeight="1" spans="1:7">
      <c r="A434" s="6"/>
      <c r="B434" s="6"/>
      <c r="C434" s="6"/>
      <c r="D434" s="6"/>
      <c r="E434" s="6"/>
      <c r="F434" s="6"/>
      <c r="G434" s="6"/>
    </row>
    <row r="435" customHeight="1" spans="1:7">
      <c r="A435" s="6"/>
      <c r="B435" s="6"/>
      <c r="C435" s="6"/>
      <c r="D435" s="6"/>
      <c r="E435" s="6"/>
      <c r="F435" s="6"/>
      <c r="G435" s="6"/>
    </row>
    <row r="436" customHeight="1" spans="1:7">
      <c r="A436" s="6"/>
      <c r="B436" s="6"/>
      <c r="C436" s="6"/>
      <c r="D436" s="6"/>
      <c r="E436" s="6"/>
      <c r="F436" s="6"/>
      <c r="G436" s="6"/>
    </row>
    <row r="437" customHeight="1" spans="1:7">
      <c r="A437" s="6"/>
      <c r="B437" s="6"/>
      <c r="C437" s="6"/>
      <c r="D437" s="6"/>
      <c r="E437" s="6"/>
      <c r="F437" s="6"/>
      <c r="G437" s="6"/>
    </row>
    <row r="438" customHeight="1" spans="1:7">
      <c r="A438" s="6"/>
      <c r="B438" s="6"/>
      <c r="C438" s="6"/>
      <c r="D438" s="6"/>
      <c r="E438" s="6"/>
      <c r="F438" s="6"/>
      <c r="G438" s="6"/>
    </row>
    <row r="439" customHeight="1" spans="1:7">
      <c r="A439" s="6"/>
      <c r="B439" s="6"/>
      <c r="C439" s="6"/>
      <c r="D439" s="6"/>
      <c r="E439" s="6"/>
      <c r="F439" s="6"/>
      <c r="G439" s="6"/>
    </row>
    <row r="440" customHeight="1" spans="1:7">
      <c r="A440" s="6"/>
      <c r="B440" s="6"/>
      <c r="C440" s="6"/>
      <c r="D440" s="6"/>
      <c r="E440" s="6"/>
      <c r="F440" s="6"/>
      <c r="G440" s="6"/>
    </row>
    <row r="441" customHeight="1" spans="1:7">
      <c r="A441" s="6"/>
      <c r="B441" s="6"/>
      <c r="C441" s="6"/>
      <c r="D441" s="6"/>
      <c r="E441" s="6"/>
      <c r="F441" s="6"/>
      <c r="G441" s="6"/>
    </row>
    <row r="442" customHeight="1" spans="1:7">
      <c r="A442" s="6"/>
      <c r="B442" s="6"/>
      <c r="C442" s="6"/>
      <c r="D442" s="6"/>
      <c r="E442" s="6"/>
      <c r="F442" s="6"/>
      <c r="G442" s="6"/>
    </row>
    <row r="443" customHeight="1" spans="1:7">
      <c r="A443" s="6"/>
      <c r="B443" s="6"/>
      <c r="C443" s="6"/>
      <c r="D443" s="6"/>
      <c r="E443" s="6"/>
      <c r="F443" s="6"/>
      <c r="G443" s="6"/>
    </row>
    <row r="444" customHeight="1" spans="1:7">
      <c r="A444" s="6"/>
      <c r="B444" s="6"/>
      <c r="C444" s="6"/>
      <c r="D444" s="6"/>
      <c r="E444" s="6"/>
      <c r="F444" s="6"/>
      <c r="G444" s="6"/>
    </row>
    <row r="445" customHeight="1" spans="1:7">
      <c r="A445" s="6"/>
      <c r="B445" s="6"/>
      <c r="C445" s="6"/>
      <c r="D445" s="6"/>
      <c r="E445" s="6"/>
      <c r="F445" s="6"/>
      <c r="G445" s="6"/>
    </row>
    <row r="446" customHeight="1" spans="1:7">
      <c r="A446" s="6"/>
      <c r="B446" s="6"/>
      <c r="C446" s="6"/>
      <c r="D446" s="6"/>
      <c r="E446" s="6"/>
      <c r="F446" s="6"/>
      <c r="G446" s="6"/>
    </row>
    <row r="447" customHeight="1" spans="1:7">
      <c r="A447" s="6"/>
      <c r="B447" s="6"/>
      <c r="C447" s="6"/>
      <c r="D447" s="6"/>
      <c r="E447" s="6"/>
      <c r="F447" s="6"/>
      <c r="G447" s="6"/>
    </row>
    <row r="448" customHeight="1" spans="1:7">
      <c r="A448" s="6"/>
      <c r="B448" s="6"/>
      <c r="C448" s="6"/>
      <c r="D448" s="6"/>
      <c r="E448" s="6"/>
      <c r="F448" s="6"/>
      <c r="G448" s="6"/>
    </row>
    <row r="449" customHeight="1" spans="1:7">
      <c r="A449" s="6"/>
      <c r="B449" s="6"/>
      <c r="C449" s="6"/>
      <c r="D449" s="6"/>
      <c r="E449" s="6"/>
      <c r="F449" s="6"/>
      <c r="G449" s="6"/>
    </row>
    <row r="450" customHeight="1" spans="1:7">
      <c r="A450" s="6"/>
      <c r="B450" s="6"/>
      <c r="C450" s="6"/>
      <c r="D450" s="6"/>
      <c r="E450" s="6"/>
      <c r="F450" s="6"/>
      <c r="G450" s="6"/>
    </row>
    <row r="451" customHeight="1" spans="1:7">
      <c r="A451" s="6"/>
      <c r="B451" s="6"/>
      <c r="C451" s="6"/>
      <c r="D451" s="6"/>
      <c r="E451" s="6"/>
      <c r="F451" s="6"/>
      <c r="G451" s="6"/>
    </row>
    <row r="452" customHeight="1" spans="1:7">
      <c r="A452" s="6"/>
      <c r="B452" s="6"/>
      <c r="C452" s="6"/>
      <c r="D452" s="6"/>
      <c r="E452" s="6"/>
      <c r="F452" s="6"/>
      <c r="G452" s="6"/>
    </row>
    <row r="453" customHeight="1" spans="1:7">
      <c r="A453" s="6"/>
      <c r="B453" s="6"/>
      <c r="C453" s="6"/>
      <c r="D453" s="6"/>
      <c r="E453" s="6"/>
      <c r="F453" s="6"/>
      <c r="G453" s="6"/>
    </row>
    <row r="454" customHeight="1" spans="1:7">
      <c r="A454" s="6"/>
      <c r="B454" s="6"/>
      <c r="C454" s="6"/>
      <c r="D454" s="6"/>
      <c r="E454" s="6"/>
      <c r="F454" s="6"/>
      <c r="G454" s="6"/>
    </row>
    <row r="455" customHeight="1" spans="1:7">
      <c r="A455" s="6"/>
      <c r="B455" s="6"/>
      <c r="C455" s="6"/>
      <c r="D455" s="6"/>
      <c r="E455" s="6"/>
      <c r="F455" s="6"/>
      <c r="G455" s="6"/>
    </row>
    <row r="456" customHeight="1" spans="1:7">
      <c r="A456" s="6"/>
      <c r="B456" s="6"/>
      <c r="C456" s="6"/>
      <c r="D456" s="6"/>
      <c r="E456" s="6"/>
      <c r="F456" s="6"/>
      <c r="G456" s="6"/>
    </row>
    <row r="457" customHeight="1" spans="1:7">
      <c r="A457" s="6"/>
      <c r="B457" s="6"/>
      <c r="C457" s="6"/>
      <c r="D457" s="6"/>
      <c r="E457" s="6"/>
      <c r="F457" s="6"/>
      <c r="G457" s="6"/>
    </row>
    <row r="458" customHeight="1" spans="1:7">
      <c r="A458" s="6"/>
      <c r="B458" s="6"/>
      <c r="C458" s="6"/>
      <c r="D458" s="6"/>
      <c r="E458" s="6"/>
      <c r="F458" s="6"/>
      <c r="G458" s="6"/>
    </row>
    <row r="459" customHeight="1" spans="1:7">
      <c r="A459" s="6"/>
      <c r="B459" s="6"/>
      <c r="C459" s="6"/>
      <c r="D459" s="6"/>
      <c r="E459" s="6"/>
      <c r="F459" s="6"/>
      <c r="G459" s="6"/>
    </row>
    <row r="460" customHeight="1" spans="1:7">
      <c r="A460" s="6"/>
      <c r="B460" s="6"/>
      <c r="C460" s="6"/>
      <c r="D460" s="6"/>
      <c r="E460" s="6"/>
      <c r="F460" s="6"/>
      <c r="G460" s="6"/>
    </row>
    <row r="461" customHeight="1" spans="1:7">
      <c r="A461" s="6"/>
      <c r="B461" s="6"/>
      <c r="C461" s="6"/>
      <c r="D461" s="6"/>
      <c r="E461" s="6"/>
      <c r="F461" s="6"/>
      <c r="G461" s="6"/>
    </row>
    <row r="462" customHeight="1" spans="1:7">
      <c r="A462" s="6"/>
      <c r="B462" s="6"/>
      <c r="C462" s="6"/>
      <c r="D462" s="6"/>
      <c r="E462" s="6"/>
      <c r="F462" s="6"/>
      <c r="G462" s="6"/>
    </row>
    <row r="463" customHeight="1" spans="1:7">
      <c r="A463" s="6"/>
      <c r="B463" s="6"/>
      <c r="C463" s="6"/>
      <c r="D463" s="6"/>
      <c r="E463" s="6"/>
      <c r="F463" s="6"/>
      <c r="G463" s="6"/>
    </row>
    <row r="464" customHeight="1" spans="1:7">
      <c r="A464" s="6"/>
      <c r="B464" s="6"/>
      <c r="C464" s="6"/>
      <c r="D464" s="6"/>
      <c r="E464" s="6"/>
      <c r="F464" s="6"/>
      <c r="G464" s="6"/>
    </row>
    <row r="465" customHeight="1" spans="1:7">
      <c r="A465" s="6"/>
      <c r="B465" s="6"/>
      <c r="C465" s="6"/>
      <c r="D465" s="6"/>
      <c r="E465" s="6"/>
      <c r="F465" s="6"/>
      <c r="G465" s="6"/>
    </row>
    <row r="466" customHeight="1" spans="1:7">
      <c r="A466" s="6"/>
      <c r="B466" s="6"/>
      <c r="C466" s="6"/>
      <c r="D466" s="6"/>
      <c r="E466" s="6"/>
      <c r="F466" s="6"/>
      <c r="G466" s="6"/>
    </row>
    <row r="467" customHeight="1" spans="1:7">
      <c r="A467" s="6"/>
      <c r="B467" s="6"/>
      <c r="C467" s="6"/>
      <c r="D467" s="6"/>
      <c r="E467" s="6"/>
      <c r="F467" s="6"/>
      <c r="G467" s="6"/>
    </row>
    <row r="468" customHeight="1" spans="1:7">
      <c r="A468" s="6"/>
      <c r="B468" s="6"/>
      <c r="C468" s="6"/>
      <c r="D468" s="6"/>
      <c r="E468" s="6"/>
      <c r="F468" s="6"/>
      <c r="G468" s="6"/>
    </row>
    <row r="469" customHeight="1" spans="1:7">
      <c r="A469" s="6"/>
      <c r="B469" s="6"/>
      <c r="C469" s="6"/>
      <c r="D469" s="6"/>
      <c r="E469" s="6"/>
      <c r="F469" s="6"/>
      <c r="G469" s="6"/>
    </row>
    <row r="470" customHeight="1" spans="1:7">
      <c r="A470" s="6"/>
      <c r="B470" s="6"/>
      <c r="C470" s="6"/>
      <c r="D470" s="6"/>
      <c r="E470" s="6"/>
      <c r="F470" s="6"/>
      <c r="G470" s="6"/>
    </row>
    <row r="471" customHeight="1" spans="1:7">
      <c r="A471" s="6"/>
      <c r="B471" s="6"/>
      <c r="C471" s="6"/>
      <c r="D471" s="6"/>
      <c r="E471" s="6"/>
      <c r="F471" s="6"/>
      <c r="G471" s="6"/>
    </row>
    <row r="472" customHeight="1" spans="1:7">
      <c r="A472" s="6"/>
      <c r="B472" s="6"/>
      <c r="C472" s="6"/>
      <c r="D472" s="6"/>
      <c r="E472" s="6"/>
      <c r="F472" s="6"/>
      <c r="G472" s="6"/>
    </row>
    <row r="473" customHeight="1" spans="1:7">
      <c r="A473" s="6"/>
      <c r="B473" s="6"/>
      <c r="C473" s="6"/>
      <c r="D473" s="6"/>
      <c r="E473" s="6"/>
      <c r="F473" s="6"/>
      <c r="G473" s="6"/>
    </row>
    <row r="474" customHeight="1" spans="1:7">
      <c r="A474" s="6"/>
      <c r="B474" s="6"/>
      <c r="C474" s="6"/>
      <c r="D474" s="6"/>
      <c r="E474" s="6"/>
      <c r="F474" s="6"/>
      <c r="G474" s="6"/>
    </row>
    <row r="475" customHeight="1" spans="1:7">
      <c r="A475" s="6"/>
      <c r="B475" s="6"/>
      <c r="C475" s="6"/>
      <c r="D475" s="6"/>
      <c r="E475" s="6"/>
      <c r="F475" s="6"/>
      <c r="G475" s="6"/>
    </row>
    <row r="476" customHeight="1" spans="1:7">
      <c r="A476" s="6"/>
      <c r="B476" s="6"/>
      <c r="C476" s="6"/>
      <c r="D476" s="6"/>
      <c r="E476" s="6"/>
      <c r="F476" s="6"/>
      <c r="G476" s="6"/>
    </row>
    <row r="477" customHeight="1" spans="1:7">
      <c r="A477" s="6"/>
      <c r="B477" s="6"/>
      <c r="C477" s="6"/>
      <c r="D477" s="6"/>
      <c r="E477" s="6"/>
      <c r="F477" s="6"/>
      <c r="G477" s="6"/>
    </row>
    <row r="478" customHeight="1" spans="1:7">
      <c r="A478" s="6"/>
      <c r="B478" s="6"/>
      <c r="C478" s="6"/>
      <c r="D478" s="6"/>
      <c r="E478" s="6"/>
      <c r="F478" s="6"/>
      <c r="G478" s="6"/>
    </row>
    <row r="479" customHeight="1" spans="1:7">
      <c r="A479" s="6"/>
      <c r="B479" s="6"/>
      <c r="C479" s="6"/>
      <c r="D479" s="6"/>
      <c r="E479" s="6"/>
      <c r="F479" s="6"/>
      <c r="G479" s="6"/>
    </row>
    <row r="480" customHeight="1" spans="1:7">
      <c r="A480" s="6"/>
      <c r="B480" s="6"/>
      <c r="C480" s="6"/>
      <c r="D480" s="6"/>
      <c r="E480" s="6"/>
      <c r="F480" s="6"/>
      <c r="G480" s="6"/>
    </row>
    <row r="481" customHeight="1" spans="1:7">
      <c r="A481" s="6"/>
      <c r="B481" s="6"/>
      <c r="C481" s="6"/>
      <c r="D481" s="6"/>
      <c r="E481" s="6"/>
      <c r="F481" s="6"/>
      <c r="G481" s="6"/>
    </row>
    <row r="482" customHeight="1" spans="1:7">
      <c r="A482" s="6"/>
      <c r="B482" s="6"/>
      <c r="C482" s="6"/>
      <c r="D482" s="6"/>
      <c r="E482" s="6"/>
      <c r="F482" s="6"/>
      <c r="G482" s="6"/>
    </row>
    <row r="483" customHeight="1" spans="1:7">
      <c r="A483" s="6"/>
      <c r="B483" s="6"/>
      <c r="C483" s="6"/>
      <c r="D483" s="6"/>
      <c r="E483" s="6"/>
      <c r="F483" s="6"/>
      <c r="G483" s="6"/>
    </row>
    <row r="484" customHeight="1" spans="1:7">
      <c r="A484" s="6"/>
      <c r="B484" s="6"/>
      <c r="C484" s="6"/>
      <c r="D484" s="6"/>
      <c r="E484" s="6"/>
      <c r="F484" s="6"/>
      <c r="G484" s="6"/>
    </row>
    <row r="485" customHeight="1" spans="1:7">
      <c r="A485" s="6"/>
      <c r="B485" s="6"/>
      <c r="C485" s="6"/>
      <c r="D485" s="6"/>
      <c r="E485" s="6"/>
      <c r="F485" s="6"/>
      <c r="G485" s="6"/>
    </row>
    <row r="486" customHeight="1" spans="1:7">
      <c r="A486" s="6"/>
      <c r="B486" s="6"/>
      <c r="C486" s="6"/>
      <c r="D486" s="6"/>
      <c r="E486" s="6"/>
      <c r="F486" s="6"/>
      <c r="G486" s="6"/>
    </row>
    <row r="487" customHeight="1" spans="1:7">
      <c r="A487" s="6"/>
      <c r="B487" s="6"/>
      <c r="C487" s="6"/>
      <c r="D487" s="6"/>
      <c r="E487" s="6"/>
      <c r="F487" s="6"/>
      <c r="G487" s="6"/>
    </row>
    <row r="488" customHeight="1" spans="1:7">
      <c r="A488" s="6"/>
      <c r="B488" s="6"/>
      <c r="C488" s="6"/>
      <c r="D488" s="6"/>
      <c r="E488" s="6"/>
      <c r="F488" s="6"/>
      <c r="G488" s="6"/>
    </row>
    <row r="489" customHeight="1" spans="1:7">
      <c r="A489" s="6"/>
      <c r="B489" s="6"/>
      <c r="C489" s="6"/>
      <c r="D489" s="6"/>
      <c r="E489" s="6"/>
      <c r="F489" s="6"/>
      <c r="G489" s="6"/>
    </row>
    <row r="490" customHeight="1" spans="1:7">
      <c r="A490" s="6"/>
      <c r="B490" s="6"/>
      <c r="C490" s="6"/>
      <c r="D490" s="6"/>
      <c r="E490" s="6"/>
      <c r="F490" s="6"/>
      <c r="G490" s="6"/>
    </row>
    <row r="491" customHeight="1" spans="1:7">
      <c r="A491" s="6"/>
      <c r="B491" s="6"/>
      <c r="C491" s="6"/>
      <c r="D491" s="6"/>
      <c r="E491" s="6"/>
      <c r="F491" s="6"/>
      <c r="G491" s="6"/>
    </row>
    <row r="492" customHeight="1" spans="1:7">
      <c r="A492" s="6"/>
      <c r="B492" s="6"/>
      <c r="C492" s="6"/>
      <c r="D492" s="6"/>
      <c r="E492" s="6"/>
      <c r="F492" s="6"/>
      <c r="G492" s="6"/>
    </row>
    <row r="493" customHeight="1" spans="1:7">
      <c r="A493" s="6"/>
      <c r="B493" s="6"/>
      <c r="C493" s="6"/>
      <c r="D493" s="6"/>
      <c r="E493" s="6"/>
      <c r="F493" s="6"/>
      <c r="G493" s="6"/>
    </row>
    <row r="494" customHeight="1" spans="1:7">
      <c r="A494" s="6"/>
      <c r="B494" s="6"/>
      <c r="C494" s="6"/>
      <c r="D494" s="6"/>
      <c r="E494" s="6"/>
      <c r="F494" s="6"/>
      <c r="G494" s="6"/>
    </row>
    <row r="495" customHeight="1" spans="1:7">
      <c r="A495" s="6"/>
      <c r="B495" s="6"/>
      <c r="C495" s="6"/>
      <c r="D495" s="6"/>
      <c r="E495" s="6"/>
      <c r="F495" s="6"/>
      <c r="G495" s="6"/>
    </row>
    <row r="496" customHeight="1" spans="1:7">
      <c r="A496" s="6"/>
      <c r="B496" s="6"/>
      <c r="C496" s="6"/>
      <c r="D496" s="6"/>
      <c r="E496" s="6"/>
      <c r="F496" s="6"/>
      <c r="G496" s="6"/>
    </row>
    <row r="497" customHeight="1" spans="1:7">
      <c r="A497" s="6"/>
      <c r="B497" s="6"/>
      <c r="C497" s="6"/>
      <c r="D497" s="6"/>
      <c r="E497" s="6"/>
      <c r="F497" s="6"/>
      <c r="G497" s="6"/>
    </row>
    <row r="498" customHeight="1" spans="1:7">
      <c r="A498" s="6"/>
      <c r="B498" s="6"/>
      <c r="C498" s="6"/>
      <c r="D498" s="6"/>
      <c r="E498" s="6"/>
      <c r="F498" s="6"/>
      <c r="G498" s="6"/>
    </row>
    <row r="499" customHeight="1" spans="1:7">
      <c r="A499" s="6"/>
      <c r="B499" s="6"/>
      <c r="C499" s="6"/>
      <c r="D499" s="6"/>
      <c r="E499" s="6"/>
      <c r="F499" s="6"/>
      <c r="G499" s="6"/>
    </row>
    <row r="500" customHeight="1" spans="1:7">
      <c r="A500" s="6"/>
      <c r="B500" s="6"/>
      <c r="C500" s="6"/>
      <c r="D500" s="6"/>
      <c r="E500" s="6"/>
      <c r="F500" s="6"/>
      <c r="G500" s="6"/>
    </row>
    <row r="501" customHeight="1" spans="1:7">
      <c r="A501" s="6"/>
      <c r="B501" s="6"/>
      <c r="C501" s="6"/>
      <c r="D501" s="6"/>
      <c r="E501" s="6"/>
      <c r="F501" s="6"/>
      <c r="G501" s="6"/>
    </row>
    <row r="502" customHeight="1" spans="1:7">
      <c r="A502" s="6"/>
      <c r="B502" s="6"/>
      <c r="C502" s="6"/>
      <c r="D502" s="6"/>
      <c r="E502" s="6"/>
      <c r="F502" s="6"/>
      <c r="G502" s="6"/>
    </row>
    <row r="503" customHeight="1" spans="1:7">
      <c r="A503" s="6"/>
      <c r="B503" s="6"/>
      <c r="C503" s="6"/>
      <c r="D503" s="6"/>
      <c r="E503" s="6"/>
      <c r="F503" s="6"/>
      <c r="G503" s="6"/>
    </row>
    <row r="504" customHeight="1" spans="1:7">
      <c r="A504" s="6"/>
      <c r="B504" s="6"/>
      <c r="C504" s="6"/>
      <c r="D504" s="6"/>
      <c r="E504" s="6"/>
      <c r="F504" s="6"/>
      <c r="G504" s="6"/>
    </row>
    <row r="505" customHeight="1" spans="1:7">
      <c r="A505" s="6"/>
      <c r="B505" s="6"/>
      <c r="C505" s="6"/>
      <c r="D505" s="6"/>
      <c r="E505" s="6"/>
      <c r="F505" s="6"/>
      <c r="G505" s="6"/>
    </row>
    <row r="506" customHeight="1" spans="1:7">
      <c r="A506" s="6"/>
      <c r="B506" s="6"/>
      <c r="C506" s="6"/>
      <c r="D506" s="6"/>
      <c r="E506" s="6"/>
      <c r="F506" s="6"/>
      <c r="G506" s="6"/>
    </row>
    <row r="507" customHeight="1" spans="1:7">
      <c r="A507" s="6"/>
      <c r="B507" s="6"/>
      <c r="C507" s="6"/>
      <c r="D507" s="6"/>
      <c r="E507" s="6"/>
      <c r="F507" s="6"/>
      <c r="G507" s="6"/>
    </row>
    <row r="508" customHeight="1" spans="1:7">
      <c r="A508" s="6"/>
      <c r="B508" s="6"/>
      <c r="C508" s="6"/>
      <c r="D508" s="6"/>
      <c r="E508" s="6"/>
      <c r="F508" s="6"/>
      <c r="G508" s="6"/>
    </row>
    <row r="509" customHeight="1" spans="1:7">
      <c r="A509" s="6"/>
      <c r="B509" s="6"/>
      <c r="C509" s="6"/>
      <c r="D509" s="6"/>
      <c r="E509" s="6"/>
      <c r="F509" s="6"/>
      <c r="G509" s="6"/>
    </row>
    <row r="510" customHeight="1" spans="1:7">
      <c r="A510" s="6"/>
      <c r="B510" s="6"/>
      <c r="C510" s="6"/>
      <c r="D510" s="6"/>
      <c r="E510" s="6"/>
      <c r="F510" s="6"/>
      <c r="G510" s="6"/>
    </row>
    <row r="511" customHeight="1" spans="1:7">
      <c r="A511" s="6"/>
      <c r="B511" s="6"/>
      <c r="C511" s="6"/>
      <c r="D511" s="6"/>
      <c r="E511" s="6"/>
      <c r="F511" s="6"/>
      <c r="G511" s="6"/>
    </row>
    <row r="512" customHeight="1" spans="1:7">
      <c r="A512" s="6"/>
      <c r="B512" s="6"/>
      <c r="C512" s="6"/>
      <c r="D512" s="6"/>
      <c r="E512" s="6"/>
      <c r="F512" s="6"/>
      <c r="G512" s="6"/>
    </row>
    <row r="513" customHeight="1" spans="1:7">
      <c r="A513" s="6"/>
      <c r="B513" s="6"/>
      <c r="C513" s="6"/>
      <c r="D513" s="6"/>
      <c r="E513" s="6"/>
      <c r="F513" s="6"/>
      <c r="G513" s="6"/>
    </row>
    <row r="514" customHeight="1" spans="1:7">
      <c r="A514" s="6"/>
      <c r="B514" s="6"/>
      <c r="C514" s="6"/>
      <c r="D514" s="6"/>
      <c r="E514" s="6"/>
      <c r="F514" s="6"/>
      <c r="G514" s="6"/>
    </row>
    <row r="515" customHeight="1" spans="1:7">
      <c r="A515" s="6"/>
      <c r="B515" s="6"/>
      <c r="C515" s="6"/>
      <c r="D515" s="6"/>
      <c r="E515" s="6"/>
      <c r="F515" s="6"/>
      <c r="G515" s="6"/>
    </row>
    <row r="516" customHeight="1" spans="1:7">
      <c r="A516" s="6"/>
      <c r="B516" s="6"/>
      <c r="C516" s="6"/>
      <c r="D516" s="6"/>
      <c r="E516" s="6"/>
      <c r="F516" s="6"/>
      <c r="G516" s="6"/>
    </row>
    <row r="517" customHeight="1" spans="1:7">
      <c r="A517" s="6"/>
      <c r="B517" s="6"/>
      <c r="C517" s="6"/>
      <c r="D517" s="6"/>
      <c r="E517" s="6"/>
      <c r="F517" s="6"/>
      <c r="G517" s="6"/>
    </row>
    <row r="518" customHeight="1" spans="1:7">
      <c r="A518" s="6"/>
      <c r="B518" s="6"/>
      <c r="C518" s="6"/>
      <c r="D518" s="6"/>
      <c r="E518" s="6"/>
      <c r="F518" s="6"/>
      <c r="G518" s="6"/>
    </row>
    <row r="519" customHeight="1" spans="1:7">
      <c r="A519" s="6"/>
      <c r="B519" s="6"/>
      <c r="C519" s="6"/>
      <c r="D519" s="6"/>
      <c r="E519" s="6"/>
      <c r="F519" s="6"/>
      <c r="G519" s="6"/>
    </row>
    <row r="520" customHeight="1" spans="1:7">
      <c r="A520" s="6"/>
      <c r="B520" s="6"/>
      <c r="C520" s="6"/>
      <c r="D520" s="6"/>
      <c r="E520" s="6"/>
      <c r="F520" s="6"/>
      <c r="G520" s="6"/>
    </row>
    <row r="521" customHeight="1" spans="1:7">
      <c r="A521" s="6"/>
      <c r="B521" s="6"/>
      <c r="C521" s="6"/>
      <c r="D521" s="6"/>
      <c r="E521" s="6"/>
      <c r="F521" s="6"/>
      <c r="G521" s="6"/>
    </row>
    <row r="522" customHeight="1" spans="1:7">
      <c r="A522" s="6"/>
      <c r="B522" s="6"/>
      <c r="C522" s="6"/>
      <c r="D522" s="6"/>
      <c r="E522" s="6"/>
      <c r="F522" s="6"/>
      <c r="G522" s="6"/>
    </row>
    <row r="523" customHeight="1" spans="1:7">
      <c r="A523" s="6"/>
      <c r="B523" s="6"/>
      <c r="C523" s="6"/>
      <c r="D523" s="6"/>
      <c r="E523" s="6"/>
      <c r="F523" s="6"/>
      <c r="G523" s="6"/>
    </row>
    <row r="524" customHeight="1" spans="1:7">
      <c r="A524" s="6"/>
      <c r="B524" s="6"/>
      <c r="C524" s="6"/>
      <c r="D524" s="6"/>
      <c r="E524" s="6"/>
      <c r="F524" s="6"/>
      <c r="G524" s="6"/>
    </row>
    <row r="525" customHeight="1" spans="1:7">
      <c r="A525" s="6"/>
      <c r="B525" s="6"/>
      <c r="C525" s="6"/>
      <c r="D525" s="6"/>
      <c r="E525" s="6"/>
      <c r="F525" s="6"/>
      <c r="G525" s="6"/>
    </row>
    <row r="526" customHeight="1" spans="1:7">
      <c r="A526" s="6"/>
      <c r="B526" s="6"/>
      <c r="C526" s="6"/>
      <c r="D526" s="6"/>
      <c r="E526" s="6"/>
      <c r="F526" s="6"/>
      <c r="G526" s="6"/>
    </row>
    <row r="527" customHeight="1" spans="1:7">
      <c r="A527" s="6"/>
      <c r="B527" s="6"/>
      <c r="C527" s="6"/>
      <c r="D527" s="6"/>
      <c r="E527" s="6"/>
      <c r="F527" s="6"/>
      <c r="G527" s="6"/>
    </row>
    <row r="528" customHeight="1" spans="1:7">
      <c r="A528" s="6"/>
      <c r="B528" s="6"/>
      <c r="C528" s="6"/>
      <c r="D528" s="6"/>
      <c r="E528" s="6"/>
      <c r="F528" s="6"/>
      <c r="G528" s="6"/>
    </row>
    <row r="529" customHeight="1" spans="1:7">
      <c r="A529" s="6"/>
      <c r="B529" s="6"/>
      <c r="C529" s="6"/>
      <c r="D529" s="6"/>
      <c r="E529" s="6"/>
      <c r="F529" s="6"/>
      <c r="G529" s="6"/>
    </row>
    <row r="530" customHeight="1" spans="1:7">
      <c r="A530" s="6"/>
      <c r="B530" s="6"/>
      <c r="C530" s="6"/>
      <c r="D530" s="6"/>
      <c r="E530" s="6"/>
      <c r="F530" s="6"/>
      <c r="G530" s="6"/>
    </row>
    <row r="531" customHeight="1" spans="1:7">
      <c r="A531" s="6"/>
      <c r="B531" s="6"/>
      <c r="C531" s="6"/>
      <c r="D531" s="6"/>
      <c r="E531" s="6"/>
      <c r="F531" s="6"/>
      <c r="G531" s="6"/>
    </row>
    <row r="532" customHeight="1" spans="1:7">
      <c r="A532" s="6"/>
      <c r="B532" s="6"/>
      <c r="C532" s="6"/>
      <c r="D532" s="6"/>
      <c r="E532" s="6"/>
      <c r="F532" s="6"/>
      <c r="G532" s="6"/>
    </row>
    <row r="533" customHeight="1" spans="1:7">
      <c r="A533" s="6"/>
      <c r="B533" s="6"/>
      <c r="C533" s="6"/>
      <c r="D533" s="6"/>
      <c r="E533" s="6"/>
      <c r="F533" s="6"/>
      <c r="G533" s="6"/>
    </row>
    <row r="534" customHeight="1" spans="1:7">
      <c r="A534" s="6"/>
      <c r="B534" s="6"/>
      <c r="C534" s="6"/>
      <c r="D534" s="6"/>
      <c r="E534" s="6"/>
      <c r="F534" s="6"/>
      <c r="G534" s="6"/>
    </row>
    <row r="535" customHeight="1" spans="1:7">
      <c r="A535" s="6"/>
      <c r="B535" s="6"/>
      <c r="C535" s="6"/>
      <c r="D535" s="6"/>
      <c r="E535" s="6"/>
      <c r="F535" s="6"/>
      <c r="G535" s="6"/>
    </row>
    <row r="536" customHeight="1" spans="1:7">
      <c r="A536" s="6"/>
      <c r="B536" s="6"/>
      <c r="C536" s="6"/>
      <c r="D536" s="6"/>
      <c r="E536" s="6"/>
      <c r="F536" s="6"/>
      <c r="G536" s="6"/>
    </row>
    <row r="537" customHeight="1" spans="1:7">
      <c r="A537" s="6"/>
      <c r="B537" s="6"/>
      <c r="C537" s="6"/>
      <c r="D537" s="6"/>
      <c r="E537" s="6"/>
      <c r="F537" s="6"/>
      <c r="G537" s="6"/>
    </row>
    <row r="538" customHeight="1" spans="1:7">
      <c r="A538" s="6"/>
      <c r="B538" s="6"/>
      <c r="C538" s="6"/>
      <c r="D538" s="6"/>
      <c r="E538" s="6"/>
      <c r="F538" s="6"/>
      <c r="G538" s="6"/>
    </row>
    <row r="539" customHeight="1" spans="1:7">
      <c r="A539" s="6"/>
      <c r="B539" s="6"/>
      <c r="C539" s="6"/>
      <c r="D539" s="6"/>
      <c r="E539" s="6"/>
      <c r="F539" s="6"/>
      <c r="G539" s="6"/>
    </row>
    <row r="540" customHeight="1" spans="1:7">
      <c r="A540" s="6"/>
      <c r="B540" s="6"/>
      <c r="C540" s="6"/>
      <c r="D540" s="6"/>
      <c r="E540" s="6"/>
      <c r="F540" s="6"/>
      <c r="G540" s="6"/>
    </row>
    <row r="541" customHeight="1" spans="1:7">
      <c r="A541" s="6"/>
      <c r="B541" s="6"/>
      <c r="C541" s="6"/>
      <c r="D541" s="6"/>
      <c r="E541" s="6"/>
      <c r="F541" s="6"/>
      <c r="G541" s="6"/>
    </row>
    <row r="542" customHeight="1" spans="1:7">
      <c r="A542" s="6"/>
      <c r="B542" s="6"/>
      <c r="C542" s="6"/>
      <c r="D542" s="6"/>
      <c r="E542" s="6"/>
      <c r="F542" s="6"/>
      <c r="G542" s="6"/>
    </row>
    <row r="543" customHeight="1" spans="1:7">
      <c r="A543" s="6"/>
      <c r="B543" s="6"/>
      <c r="C543" s="6"/>
      <c r="D543" s="6"/>
      <c r="E543" s="6"/>
      <c r="F543" s="6"/>
      <c r="G543" s="6"/>
    </row>
    <row r="544" customHeight="1" spans="1:7">
      <c r="A544" s="6"/>
      <c r="B544" s="6"/>
      <c r="C544" s="6"/>
      <c r="D544" s="6"/>
      <c r="E544" s="6"/>
      <c r="F544" s="6"/>
      <c r="G544" s="6"/>
    </row>
    <row r="545" customHeight="1" spans="1:7">
      <c r="A545" s="6"/>
      <c r="B545" s="6"/>
      <c r="C545" s="6"/>
      <c r="D545" s="6"/>
      <c r="E545" s="6"/>
      <c r="F545" s="6"/>
      <c r="G545" s="6"/>
    </row>
    <row r="546" customHeight="1" spans="1:7">
      <c r="A546" s="6"/>
      <c r="B546" s="6"/>
      <c r="C546" s="6"/>
      <c r="D546" s="6"/>
      <c r="E546" s="6"/>
      <c r="F546" s="6"/>
      <c r="G546" s="6"/>
    </row>
    <row r="547" customHeight="1" spans="1:7">
      <c r="A547" s="6"/>
      <c r="B547" s="6"/>
      <c r="C547" s="6"/>
      <c r="D547" s="6"/>
      <c r="E547" s="6"/>
      <c r="F547" s="6"/>
      <c r="G547" s="6"/>
    </row>
    <row r="548" customHeight="1" spans="1:7">
      <c r="A548" s="6"/>
      <c r="B548" s="6"/>
      <c r="C548" s="6"/>
      <c r="D548" s="6"/>
      <c r="E548" s="6"/>
      <c r="F548" s="6"/>
      <c r="G548" s="6"/>
    </row>
    <row r="549" customHeight="1" spans="1:7">
      <c r="A549" s="6"/>
      <c r="B549" s="6"/>
      <c r="C549" s="6"/>
      <c r="D549" s="6"/>
      <c r="E549" s="6"/>
      <c r="F549" s="6"/>
      <c r="G549" s="6"/>
    </row>
    <row r="550" customHeight="1" spans="1:7">
      <c r="A550" s="6"/>
      <c r="B550" s="6"/>
      <c r="C550" s="6"/>
      <c r="D550" s="6"/>
      <c r="E550" s="6"/>
      <c r="F550" s="6"/>
      <c r="G550" s="6"/>
    </row>
    <row r="551" customHeight="1" spans="1:7">
      <c r="A551" s="6"/>
      <c r="B551" s="6"/>
      <c r="C551" s="6"/>
      <c r="D551" s="6"/>
      <c r="E551" s="6"/>
      <c r="F551" s="6"/>
      <c r="G551" s="6"/>
    </row>
    <row r="552" customHeight="1" spans="1:7">
      <c r="A552" s="6"/>
      <c r="B552" s="6"/>
      <c r="C552" s="6"/>
      <c r="D552" s="6"/>
      <c r="E552" s="6"/>
      <c r="F552" s="6"/>
      <c r="G552" s="6"/>
    </row>
    <row r="553" customHeight="1" spans="1:7">
      <c r="A553" s="6"/>
      <c r="B553" s="6"/>
      <c r="C553" s="6"/>
      <c r="D553" s="6"/>
      <c r="E553" s="6"/>
      <c r="F553" s="6"/>
      <c r="G553" s="6"/>
    </row>
    <row r="554" customHeight="1" spans="1:7">
      <c r="A554" s="6"/>
      <c r="B554" s="6"/>
      <c r="C554" s="6"/>
      <c r="D554" s="6"/>
      <c r="E554" s="6"/>
      <c r="F554" s="6"/>
      <c r="G554" s="6"/>
    </row>
    <row r="555" customHeight="1" spans="1:7">
      <c r="A555" s="6"/>
      <c r="B555" s="6"/>
      <c r="C555" s="6"/>
      <c r="D555" s="6"/>
      <c r="E555" s="6"/>
      <c r="F555" s="6"/>
      <c r="G555" s="6"/>
    </row>
    <row r="556" customHeight="1" spans="1:7">
      <c r="A556" s="6"/>
      <c r="B556" s="6"/>
      <c r="C556" s="6"/>
      <c r="D556" s="6"/>
      <c r="E556" s="6"/>
      <c r="F556" s="6"/>
      <c r="G556" s="6"/>
    </row>
    <row r="557" customHeight="1" spans="1:7">
      <c r="A557" s="6"/>
      <c r="B557" s="6"/>
      <c r="C557" s="6"/>
      <c r="D557" s="6"/>
      <c r="E557" s="6"/>
      <c r="F557" s="6"/>
      <c r="G557" s="6"/>
    </row>
    <row r="558" customHeight="1" spans="1:7">
      <c r="A558" s="6"/>
      <c r="B558" s="6"/>
      <c r="C558" s="6"/>
      <c r="D558" s="6"/>
      <c r="E558" s="6"/>
      <c r="F558" s="6"/>
      <c r="G558" s="6"/>
    </row>
    <row r="559" customHeight="1" spans="1:7">
      <c r="A559" s="6"/>
      <c r="B559" s="6"/>
      <c r="C559" s="6"/>
      <c r="D559" s="6"/>
      <c r="E559" s="6"/>
      <c r="F559" s="6"/>
      <c r="G559" s="6"/>
    </row>
    <row r="560" customHeight="1" spans="1:7">
      <c r="A560" s="6"/>
      <c r="B560" s="6"/>
      <c r="C560" s="6"/>
      <c r="D560" s="6"/>
      <c r="E560" s="6"/>
      <c r="F560" s="6"/>
      <c r="G560" s="6"/>
    </row>
    <row r="561" customHeight="1" spans="1:7">
      <c r="A561" s="6"/>
      <c r="B561" s="6"/>
      <c r="C561" s="6"/>
      <c r="D561" s="6"/>
      <c r="E561" s="6"/>
      <c r="F561" s="6"/>
      <c r="G561" s="6"/>
    </row>
    <row r="562" customHeight="1" spans="1:7">
      <c r="A562" s="6"/>
      <c r="B562" s="6"/>
      <c r="C562" s="6"/>
      <c r="D562" s="6"/>
      <c r="E562" s="6"/>
      <c r="F562" s="6"/>
      <c r="G562" s="6"/>
    </row>
    <row r="563" customHeight="1" spans="1:7">
      <c r="A563" s="6"/>
      <c r="B563" s="6"/>
      <c r="C563" s="6"/>
      <c r="D563" s="6"/>
      <c r="E563" s="6"/>
      <c r="F563" s="6"/>
      <c r="G563" s="6"/>
    </row>
    <row r="564" customHeight="1" spans="1:7">
      <c r="A564" s="6"/>
      <c r="B564" s="6"/>
      <c r="C564" s="6"/>
      <c r="D564" s="6"/>
      <c r="E564" s="6"/>
      <c r="F564" s="6"/>
      <c r="G564" s="6"/>
    </row>
    <row r="565" customHeight="1" spans="1:7">
      <c r="A565" s="6"/>
      <c r="B565" s="6"/>
      <c r="C565" s="6"/>
      <c r="D565" s="6"/>
      <c r="E565" s="6"/>
      <c r="F565" s="6"/>
      <c r="G565" s="6"/>
    </row>
    <row r="566" customHeight="1" spans="1:7">
      <c r="A566" s="6"/>
      <c r="B566" s="6"/>
      <c r="C566" s="6"/>
      <c r="D566" s="6"/>
      <c r="E566" s="6"/>
      <c r="F566" s="6"/>
      <c r="G566" s="6"/>
    </row>
    <row r="567" customHeight="1" spans="1:7">
      <c r="A567" s="6"/>
      <c r="B567" s="6"/>
      <c r="C567" s="6"/>
      <c r="D567" s="6"/>
      <c r="E567" s="6"/>
      <c r="F567" s="6"/>
      <c r="G567" s="6"/>
    </row>
    <row r="568" customHeight="1" spans="1:7">
      <c r="A568" s="6"/>
      <c r="B568" s="6"/>
      <c r="C568" s="6"/>
      <c r="D568" s="6"/>
      <c r="E568" s="6"/>
      <c r="F568" s="6"/>
      <c r="G568" s="6"/>
    </row>
    <row r="569" customHeight="1" spans="1:7">
      <c r="A569" s="6"/>
      <c r="B569" s="6"/>
      <c r="C569" s="6"/>
      <c r="D569" s="6"/>
      <c r="E569" s="6"/>
      <c r="F569" s="6"/>
      <c r="G569" s="6"/>
    </row>
    <row r="570" customHeight="1" spans="1:7">
      <c r="A570" s="6"/>
      <c r="B570" s="6"/>
      <c r="C570" s="6"/>
      <c r="D570" s="6"/>
      <c r="E570" s="6"/>
      <c r="F570" s="6"/>
      <c r="G570" s="6"/>
    </row>
    <row r="571" customHeight="1" spans="1:7">
      <c r="A571" s="6"/>
      <c r="B571" s="6"/>
      <c r="C571" s="6"/>
      <c r="D571" s="6"/>
      <c r="E571" s="6"/>
      <c r="F571" s="6"/>
      <c r="G571" s="6"/>
    </row>
    <row r="572" customHeight="1" spans="1:7">
      <c r="A572" s="6"/>
      <c r="B572" s="6"/>
      <c r="C572" s="6"/>
      <c r="D572" s="6"/>
      <c r="E572" s="6"/>
      <c r="F572" s="6"/>
      <c r="G572" s="6"/>
    </row>
    <row r="573" customHeight="1" spans="1:7">
      <c r="A573" s="6"/>
      <c r="B573" s="6"/>
      <c r="C573" s="6"/>
      <c r="D573" s="6"/>
      <c r="E573" s="6"/>
      <c r="F573" s="6"/>
      <c r="G573" s="6"/>
    </row>
    <row r="574" customHeight="1" spans="1:7">
      <c r="A574" s="6"/>
      <c r="B574" s="6"/>
      <c r="C574" s="6"/>
      <c r="D574" s="6"/>
      <c r="E574" s="6"/>
      <c r="F574" s="6"/>
      <c r="G574" s="6"/>
    </row>
    <row r="575" customHeight="1" spans="1:7">
      <c r="A575" s="6"/>
      <c r="B575" s="6"/>
      <c r="C575" s="6"/>
      <c r="D575" s="6"/>
      <c r="E575" s="6"/>
      <c r="F575" s="6"/>
      <c r="G575" s="6"/>
    </row>
    <row r="576" customHeight="1" spans="1:7">
      <c r="A576" s="6"/>
      <c r="B576" s="6"/>
      <c r="C576" s="6"/>
      <c r="D576" s="6"/>
      <c r="E576" s="6"/>
      <c r="F576" s="6"/>
      <c r="G576" s="6"/>
    </row>
    <row r="577" customHeight="1" spans="1:7">
      <c r="A577" s="6"/>
      <c r="B577" s="6"/>
      <c r="C577" s="6"/>
      <c r="D577" s="6"/>
      <c r="E577" s="6"/>
      <c r="F577" s="6"/>
      <c r="G577" s="6"/>
    </row>
    <row r="578" customHeight="1" spans="1:7">
      <c r="A578" s="6"/>
      <c r="B578" s="6"/>
      <c r="C578" s="6"/>
      <c r="D578" s="6"/>
      <c r="E578" s="6"/>
      <c r="F578" s="6"/>
      <c r="G578" s="6"/>
    </row>
    <row r="579" customHeight="1" spans="1:7">
      <c r="A579" s="6"/>
      <c r="B579" s="6"/>
      <c r="C579" s="6"/>
      <c r="D579" s="6"/>
      <c r="E579" s="6"/>
      <c r="F579" s="6"/>
      <c r="G579" s="6"/>
    </row>
    <row r="580" customHeight="1" spans="1:7">
      <c r="A580" s="6"/>
      <c r="B580" s="6"/>
      <c r="C580" s="6"/>
      <c r="D580" s="6"/>
      <c r="E580" s="6"/>
      <c r="F580" s="6"/>
      <c r="G580" s="6"/>
    </row>
    <row r="581" customHeight="1" spans="1:7">
      <c r="A581" s="6"/>
      <c r="B581" s="6"/>
      <c r="C581" s="6"/>
      <c r="D581" s="6"/>
      <c r="E581" s="6"/>
      <c r="F581" s="6"/>
      <c r="G581" s="6"/>
    </row>
    <row r="582" customHeight="1" spans="1:7">
      <c r="A582" s="6"/>
      <c r="B582" s="6"/>
      <c r="C582" s="6"/>
      <c r="D582" s="6"/>
      <c r="E582" s="6"/>
      <c r="F582" s="6"/>
      <c r="G582" s="6"/>
    </row>
    <row r="583" customHeight="1" spans="1:7">
      <c r="A583" s="6"/>
      <c r="B583" s="6"/>
      <c r="C583" s="6"/>
      <c r="D583" s="6"/>
      <c r="E583" s="6"/>
      <c r="F583" s="6"/>
      <c r="G583" s="6"/>
    </row>
    <row r="584" customHeight="1" spans="1:7">
      <c r="A584" s="6"/>
      <c r="B584" s="6"/>
      <c r="C584" s="6"/>
      <c r="D584" s="6"/>
      <c r="E584" s="6"/>
      <c r="F584" s="6"/>
      <c r="G584" s="6"/>
    </row>
    <row r="585" customHeight="1" spans="1:7">
      <c r="A585" s="6"/>
      <c r="B585" s="6"/>
      <c r="C585" s="6"/>
      <c r="D585" s="6"/>
      <c r="E585" s="6"/>
      <c r="F585" s="6"/>
      <c r="G585" s="6"/>
    </row>
    <row r="586" customHeight="1" spans="1:7">
      <c r="A586" s="6"/>
      <c r="B586" s="6"/>
      <c r="C586" s="6"/>
      <c r="D586" s="6"/>
      <c r="E586" s="6"/>
      <c r="F586" s="6"/>
      <c r="G586" s="6"/>
    </row>
    <row r="587" customHeight="1" spans="1:7">
      <c r="A587" s="6"/>
      <c r="B587" s="6"/>
      <c r="C587" s="6"/>
      <c r="D587" s="6"/>
      <c r="E587" s="6"/>
      <c r="F587" s="6"/>
      <c r="G587" s="6"/>
    </row>
    <row r="588" customHeight="1" spans="1:7">
      <c r="A588" s="6"/>
      <c r="B588" s="6"/>
      <c r="C588" s="6"/>
      <c r="D588" s="6"/>
      <c r="E588" s="6"/>
      <c r="F588" s="6"/>
      <c r="G588" s="6"/>
    </row>
    <row r="589" customHeight="1" spans="1:7">
      <c r="A589" s="6"/>
      <c r="B589" s="6"/>
      <c r="C589" s="6"/>
      <c r="D589" s="6"/>
      <c r="E589" s="6"/>
      <c r="F589" s="6"/>
      <c r="G589" s="6"/>
    </row>
    <row r="590" customHeight="1" spans="1:7">
      <c r="A590" s="6"/>
      <c r="B590" s="6"/>
      <c r="C590" s="6"/>
      <c r="D590" s="6"/>
      <c r="E590" s="6"/>
      <c r="F590" s="6"/>
      <c r="G590" s="6"/>
    </row>
    <row r="591" customHeight="1" spans="1:7">
      <c r="A591" s="6"/>
      <c r="B591" s="6"/>
      <c r="C591" s="6"/>
      <c r="D591" s="6"/>
      <c r="E591" s="6"/>
      <c r="F591" s="6"/>
      <c r="G591" s="6"/>
    </row>
    <row r="592" customHeight="1" spans="1:7">
      <c r="A592" s="6"/>
      <c r="B592" s="6"/>
      <c r="C592" s="6"/>
      <c r="D592" s="6"/>
      <c r="E592" s="6"/>
      <c r="F592" s="6"/>
      <c r="G592" s="6"/>
    </row>
    <row r="593" customHeight="1" spans="1:7">
      <c r="A593" s="6"/>
      <c r="B593" s="6"/>
      <c r="C593" s="6"/>
      <c r="D593" s="6"/>
      <c r="E593" s="6"/>
      <c r="F593" s="6"/>
      <c r="G593" s="6"/>
    </row>
    <row r="594" customHeight="1" spans="1:7">
      <c r="A594" s="6"/>
      <c r="B594" s="6"/>
      <c r="C594" s="6"/>
      <c r="D594" s="6"/>
      <c r="E594" s="6"/>
      <c r="F594" s="6"/>
      <c r="G594" s="6"/>
    </row>
    <row r="595" customHeight="1" spans="1:7">
      <c r="A595" s="6"/>
      <c r="B595" s="6"/>
      <c r="C595" s="6"/>
      <c r="D595" s="6"/>
      <c r="E595" s="6"/>
      <c r="F595" s="6"/>
      <c r="G595" s="6"/>
    </row>
    <row r="596" customHeight="1" spans="1:7">
      <c r="A596" s="6"/>
      <c r="B596" s="6"/>
      <c r="C596" s="6"/>
      <c r="D596" s="6"/>
      <c r="E596" s="6"/>
      <c r="F596" s="6"/>
      <c r="G596" s="6"/>
    </row>
    <row r="597" customHeight="1" spans="1:7">
      <c r="A597" s="6"/>
      <c r="B597" s="6"/>
      <c r="C597" s="6"/>
      <c r="D597" s="6"/>
      <c r="E597" s="6"/>
      <c r="F597" s="6"/>
      <c r="G597" s="6"/>
    </row>
    <row r="598" customHeight="1" spans="1:7">
      <c r="A598" s="6"/>
      <c r="B598" s="6"/>
      <c r="C598" s="6"/>
      <c r="D598" s="6"/>
      <c r="E598" s="6"/>
      <c r="F598" s="6"/>
      <c r="G598" s="6"/>
    </row>
    <row r="599" customHeight="1" spans="1:7">
      <c r="A599" s="6"/>
      <c r="B599" s="6"/>
      <c r="C599" s="6"/>
      <c r="D599" s="6"/>
      <c r="E599" s="6"/>
      <c r="F599" s="6"/>
      <c r="G599" s="6"/>
    </row>
    <row r="600" customHeight="1" spans="1:7">
      <c r="A600" s="6"/>
      <c r="B600" s="6"/>
      <c r="C600" s="6"/>
      <c r="D600" s="6"/>
      <c r="E600" s="6"/>
      <c r="F600" s="6"/>
      <c r="G600" s="6"/>
    </row>
    <row r="601" customHeight="1" spans="1:7">
      <c r="A601" s="6"/>
      <c r="B601" s="6"/>
      <c r="C601" s="6"/>
      <c r="D601" s="6"/>
      <c r="E601" s="6"/>
      <c r="F601" s="6"/>
      <c r="G601" s="6"/>
    </row>
    <row r="602" customHeight="1" spans="1:7">
      <c r="A602" s="6"/>
      <c r="B602" s="6"/>
      <c r="C602" s="6"/>
      <c r="D602" s="6"/>
      <c r="E602" s="6"/>
      <c r="F602" s="6"/>
      <c r="G602" s="6"/>
    </row>
    <row r="603" customHeight="1" spans="1:7">
      <c r="A603" s="6"/>
      <c r="B603" s="6"/>
      <c r="C603" s="6"/>
      <c r="D603" s="6"/>
      <c r="E603" s="6"/>
      <c r="F603" s="6"/>
      <c r="G603" s="6"/>
    </row>
    <row r="604" customHeight="1" spans="1:7">
      <c r="A604" s="6"/>
      <c r="B604" s="6"/>
      <c r="C604" s="6"/>
      <c r="D604" s="6"/>
      <c r="E604" s="6"/>
      <c r="F604" s="6"/>
      <c r="G604" s="6"/>
    </row>
    <row r="605" customHeight="1" spans="1:7">
      <c r="A605" s="6"/>
      <c r="B605" s="6"/>
      <c r="C605" s="6"/>
      <c r="D605" s="6"/>
      <c r="E605" s="6"/>
      <c r="F605" s="6"/>
      <c r="G605" s="6"/>
    </row>
    <row r="606" customHeight="1" spans="1:7">
      <c r="A606" s="6"/>
      <c r="B606" s="6"/>
      <c r="C606" s="6"/>
      <c r="D606" s="6"/>
      <c r="E606" s="6"/>
      <c r="F606" s="6"/>
      <c r="G606" s="6"/>
    </row>
    <row r="607" customHeight="1" spans="1:7">
      <c r="A607" s="6"/>
      <c r="B607" s="6"/>
      <c r="C607" s="6"/>
      <c r="D607" s="6"/>
      <c r="E607" s="6"/>
      <c r="F607" s="6"/>
      <c r="G607" s="6"/>
    </row>
    <row r="608" customHeight="1" spans="1:7">
      <c r="A608" s="6"/>
      <c r="B608" s="6"/>
      <c r="C608" s="6"/>
      <c r="D608" s="6"/>
      <c r="E608" s="6"/>
      <c r="F608" s="6"/>
      <c r="G608" s="6"/>
    </row>
    <row r="609" customHeight="1" spans="1:7">
      <c r="A609" s="6"/>
      <c r="B609" s="6"/>
      <c r="C609" s="6"/>
      <c r="D609" s="6"/>
      <c r="E609" s="6"/>
      <c r="F609" s="6"/>
      <c r="G609" s="6"/>
    </row>
    <row r="610" customHeight="1" spans="1:7">
      <c r="A610" s="6"/>
      <c r="B610" s="6"/>
      <c r="C610" s="6"/>
      <c r="D610" s="6"/>
      <c r="E610" s="6"/>
      <c r="F610" s="6"/>
      <c r="G610" s="6"/>
    </row>
    <row r="611" customHeight="1" spans="1:7">
      <c r="A611" s="6"/>
      <c r="B611" s="6"/>
      <c r="C611" s="6"/>
      <c r="D611" s="6"/>
      <c r="E611" s="6"/>
      <c r="F611" s="6"/>
      <c r="G611" s="6"/>
    </row>
    <row r="612" customHeight="1" spans="1:7">
      <c r="A612" s="6"/>
      <c r="B612" s="6"/>
      <c r="C612" s="6"/>
      <c r="D612" s="6"/>
      <c r="E612" s="6"/>
      <c r="F612" s="6"/>
      <c r="G612" s="6"/>
    </row>
    <row r="613" customHeight="1" spans="1:7">
      <c r="A613" s="6"/>
      <c r="B613" s="6"/>
      <c r="C613" s="6"/>
      <c r="D613" s="6"/>
      <c r="E613" s="6"/>
      <c r="F613" s="6"/>
      <c r="G613" s="6"/>
    </row>
    <row r="614" customHeight="1" spans="1:7">
      <c r="A614" s="6"/>
      <c r="B614" s="6"/>
      <c r="C614" s="6"/>
      <c r="D614" s="6"/>
      <c r="E614" s="6"/>
      <c r="F614" s="6"/>
      <c r="G614" s="6"/>
    </row>
    <row r="615" customHeight="1" spans="1:7">
      <c r="A615" s="6"/>
      <c r="B615" s="6"/>
      <c r="C615" s="6"/>
      <c r="D615" s="6"/>
      <c r="E615" s="6"/>
      <c r="F615" s="6"/>
      <c r="G615" s="6"/>
    </row>
    <row r="616" customHeight="1" spans="1:7">
      <c r="A616" s="6"/>
      <c r="B616" s="6"/>
      <c r="C616" s="6"/>
      <c r="D616" s="6"/>
      <c r="E616" s="6"/>
      <c r="F616" s="6"/>
      <c r="G616" s="6"/>
    </row>
    <row r="617" customHeight="1" spans="1:7">
      <c r="A617" s="6"/>
      <c r="B617" s="6"/>
      <c r="C617" s="6"/>
      <c r="D617" s="6"/>
      <c r="E617" s="6"/>
      <c r="F617" s="6"/>
      <c r="G617" s="6"/>
    </row>
    <row r="618" customHeight="1" spans="1:7">
      <c r="A618" s="6"/>
      <c r="B618" s="6"/>
      <c r="C618" s="6"/>
      <c r="D618" s="6"/>
      <c r="E618" s="6"/>
      <c r="F618" s="6"/>
      <c r="G618" s="6"/>
    </row>
    <row r="619" customHeight="1" spans="1:7">
      <c r="A619" s="6"/>
      <c r="B619" s="6"/>
      <c r="C619" s="6"/>
      <c r="D619" s="6"/>
      <c r="E619" s="6"/>
      <c r="F619" s="6"/>
      <c r="G619" s="6"/>
    </row>
    <row r="620" customHeight="1" spans="1:7">
      <c r="A620" s="6"/>
      <c r="B620" s="6"/>
      <c r="C620" s="6"/>
      <c r="D620" s="6"/>
      <c r="E620" s="6"/>
      <c r="F620" s="6"/>
      <c r="G620" s="6"/>
    </row>
    <row r="621" customHeight="1" spans="1:7">
      <c r="A621" s="6"/>
      <c r="B621" s="6"/>
      <c r="C621" s="6"/>
      <c r="D621" s="6"/>
      <c r="E621" s="6"/>
      <c r="F621" s="6"/>
      <c r="G621" s="6"/>
    </row>
    <row r="622" customHeight="1" spans="1:7">
      <c r="A622" s="6"/>
      <c r="B622" s="6"/>
      <c r="C622" s="6"/>
      <c r="D622" s="6"/>
      <c r="E622" s="6"/>
      <c r="F622" s="6"/>
      <c r="G622" s="6"/>
    </row>
    <row r="623" customHeight="1" spans="1:7">
      <c r="A623" s="6"/>
      <c r="B623" s="6"/>
      <c r="C623" s="6"/>
      <c r="D623" s="6"/>
      <c r="E623" s="6"/>
      <c r="F623" s="6"/>
      <c r="G623" s="6"/>
    </row>
    <row r="624" customHeight="1" spans="1:7">
      <c r="A624" s="6"/>
      <c r="B624" s="6"/>
      <c r="C624" s="6"/>
      <c r="D624" s="6"/>
      <c r="E624" s="6"/>
      <c r="F624" s="6"/>
      <c r="G624" s="6"/>
    </row>
    <row r="625" customHeight="1" spans="1:7">
      <c r="A625" s="6"/>
      <c r="B625" s="6"/>
      <c r="C625" s="6"/>
      <c r="D625" s="6"/>
      <c r="E625" s="6"/>
      <c r="F625" s="6"/>
      <c r="G625" s="6"/>
    </row>
    <row r="626" customHeight="1" spans="1:7">
      <c r="A626" s="6"/>
      <c r="B626" s="6"/>
      <c r="C626" s="6"/>
      <c r="D626" s="6"/>
      <c r="E626" s="6"/>
      <c r="F626" s="6"/>
      <c r="G626" s="6"/>
    </row>
    <row r="627" customHeight="1" spans="1:7">
      <c r="A627" s="6"/>
      <c r="B627" s="6"/>
      <c r="C627" s="6"/>
      <c r="D627" s="6"/>
      <c r="E627" s="6"/>
      <c r="F627" s="6"/>
      <c r="G627" s="6"/>
    </row>
    <row r="628" customHeight="1" spans="1:7">
      <c r="A628" s="6"/>
      <c r="B628" s="6"/>
      <c r="C628" s="6"/>
      <c r="D628" s="6"/>
      <c r="E628" s="6"/>
      <c r="F628" s="6"/>
      <c r="G628" s="6"/>
    </row>
    <row r="629" customHeight="1" spans="1:7">
      <c r="A629" s="6"/>
      <c r="B629" s="6"/>
      <c r="C629" s="6"/>
      <c r="D629" s="6"/>
      <c r="E629" s="6"/>
      <c r="F629" s="6"/>
      <c r="G629" s="6"/>
    </row>
    <row r="630" customHeight="1" spans="1:7">
      <c r="A630" s="6"/>
      <c r="B630" s="6"/>
      <c r="C630" s="6"/>
      <c r="D630" s="6"/>
      <c r="E630" s="6"/>
      <c r="F630" s="6"/>
      <c r="G630" s="6"/>
    </row>
    <row r="631" customHeight="1" spans="1:7">
      <c r="A631" s="6"/>
      <c r="B631" s="6"/>
      <c r="C631" s="6"/>
      <c r="D631" s="6"/>
      <c r="E631" s="6"/>
      <c r="F631" s="6"/>
      <c r="G631" s="6"/>
    </row>
    <row r="632" customHeight="1" spans="1:7">
      <c r="A632" s="6"/>
      <c r="B632" s="6"/>
      <c r="C632" s="6"/>
      <c r="D632" s="6"/>
      <c r="E632" s="6"/>
      <c r="F632" s="6"/>
      <c r="G632" s="6"/>
    </row>
    <row r="633" customHeight="1" spans="1:7">
      <c r="A633" s="6"/>
      <c r="B633" s="6"/>
      <c r="C633" s="6"/>
      <c r="D633" s="6"/>
      <c r="E633" s="6"/>
      <c r="F633" s="6"/>
      <c r="G633" s="6"/>
    </row>
    <row r="634" customHeight="1" spans="1:7">
      <c r="A634" s="6"/>
      <c r="B634" s="6"/>
      <c r="C634" s="6"/>
      <c r="D634" s="6"/>
      <c r="E634" s="6"/>
      <c r="F634" s="6"/>
      <c r="G634" s="6"/>
    </row>
    <row r="635" customHeight="1" spans="1:7">
      <c r="A635" s="6"/>
      <c r="B635" s="6"/>
      <c r="C635" s="6"/>
      <c r="D635" s="6"/>
      <c r="E635" s="6"/>
      <c r="F635" s="6"/>
      <c r="G635" s="6"/>
    </row>
    <row r="636" customHeight="1" spans="1:7">
      <c r="A636" s="6"/>
      <c r="B636" s="6"/>
      <c r="C636" s="6"/>
      <c r="D636" s="6"/>
      <c r="E636" s="6"/>
      <c r="F636" s="6"/>
      <c r="G636" s="6"/>
    </row>
    <row r="637" customHeight="1" spans="1:7">
      <c r="A637" s="6"/>
      <c r="B637" s="6"/>
      <c r="C637" s="6"/>
      <c r="D637" s="6"/>
      <c r="E637" s="6"/>
      <c r="F637" s="6"/>
      <c r="G637" s="6"/>
    </row>
    <row r="638" customHeight="1" spans="1:7">
      <c r="A638" s="6"/>
      <c r="B638" s="6"/>
      <c r="C638" s="6"/>
      <c r="D638" s="6"/>
      <c r="E638" s="6"/>
      <c r="F638" s="6"/>
      <c r="G638" s="6"/>
    </row>
    <row r="639" customHeight="1" spans="1:7">
      <c r="A639" s="6"/>
      <c r="B639" s="6"/>
      <c r="C639" s="6"/>
      <c r="D639" s="6"/>
      <c r="E639" s="6"/>
      <c r="F639" s="6"/>
      <c r="G639" s="6"/>
    </row>
    <row r="640" customHeight="1" spans="1:7">
      <c r="A640" s="6"/>
      <c r="B640" s="6"/>
      <c r="C640" s="6"/>
      <c r="D640" s="6"/>
      <c r="E640" s="6"/>
      <c r="F640" s="6"/>
      <c r="G640" s="6"/>
    </row>
    <row r="641" customHeight="1" spans="1:7">
      <c r="A641" s="6"/>
      <c r="B641" s="6"/>
      <c r="C641" s="6"/>
      <c r="D641" s="6"/>
      <c r="E641" s="6"/>
      <c r="F641" s="6"/>
      <c r="G641" s="6"/>
    </row>
    <row r="642" customHeight="1" spans="1:7">
      <c r="A642" s="6"/>
      <c r="B642" s="6"/>
      <c r="C642" s="6"/>
      <c r="D642" s="6"/>
      <c r="E642" s="6"/>
      <c r="F642" s="6"/>
      <c r="G642" s="6"/>
    </row>
    <row r="643" customHeight="1" spans="1:7">
      <c r="A643" s="6"/>
      <c r="B643" s="6"/>
      <c r="C643" s="6"/>
      <c r="D643" s="6"/>
      <c r="E643" s="6"/>
      <c r="F643" s="6"/>
      <c r="G643" s="6"/>
    </row>
    <row r="644" customHeight="1" spans="1:7">
      <c r="A644" s="6"/>
      <c r="B644" s="6"/>
      <c r="C644" s="6"/>
      <c r="D644" s="6"/>
      <c r="E644" s="6"/>
      <c r="F644" s="6"/>
      <c r="G644" s="6"/>
    </row>
    <row r="645" customHeight="1" spans="1:7">
      <c r="A645" s="6"/>
      <c r="B645" s="6"/>
      <c r="C645" s="6"/>
      <c r="D645" s="6"/>
      <c r="E645" s="6"/>
      <c r="F645" s="6"/>
      <c r="G645" s="6"/>
    </row>
    <row r="646" customHeight="1" spans="1:7">
      <c r="A646" s="6"/>
      <c r="B646" s="6"/>
      <c r="C646" s="6"/>
      <c r="D646" s="6"/>
      <c r="E646" s="6"/>
      <c r="F646" s="6"/>
      <c r="G646" s="6"/>
    </row>
    <row r="647" customHeight="1" spans="1:7">
      <c r="A647" s="6"/>
      <c r="B647" s="6"/>
      <c r="C647" s="6"/>
      <c r="D647" s="6"/>
      <c r="E647" s="6"/>
      <c r="F647" s="6"/>
      <c r="G647" s="6"/>
    </row>
    <row r="648" customHeight="1" spans="1:7">
      <c r="A648" s="6"/>
      <c r="B648" s="6"/>
      <c r="C648" s="6"/>
      <c r="D648" s="6"/>
      <c r="E648" s="6"/>
      <c r="F648" s="6"/>
      <c r="G648" s="6"/>
    </row>
    <row r="649" customHeight="1" spans="1:7">
      <c r="A649" s="6"/>
      <c r="B649" s="6"/>
      <c r="C649" s="6"/>
      <c r="D649" s="6"/>
      <c r="E649" s="6"/>
      <c r="F649" s="6"/>
      <c r="G649" s="6"/>
    </row>
    <row r="650" customHeight="1" spans="1:7">
      <c r="A650" s="6"/>
      <c r="B650" s="6"/>
      <c r="C650" s="6"/>
      <c r="D650" s="6"/>
      <c r="E650" s="6"/>
      <c r="F650" s="6"/>
      <c r="G650" s="6"/>
    </row>
    <row r="651" customHeight="1" spans="1:7">
      <c r="A651" s="6"/>
      <c r="B651" s="6"/>
      <c r="C651" s="6"/>
      <c r="D651" s="6"/>
      <c r="E651" s="6"/>
      <c r="F651" s="6"/>
      <c r="G651" s="6"/>
    </row>
    <row r="652" customHeight="1" spans="1:7">
      <c r="A652" s="6"/>
      <c r="B652" s="6"/>
      <c r="C652" s="6"/>
      <c r="D652" s="6"/>
      <c r="E652" s="6"/>
      <c r="F652" s="6"/>
      <c r="G652" s="6"/>
    </row>
    <row r="653" customHeight="1" spans="1:7">
      <c r="A653" s="6"/>
      <c r="B653" s="6"/>
      <c r="C653" s="6"/>
      <c r="D653" s="6"/>
      <c r="E653" s="6"/>
      <c r="F653" s="6"/>
      <c r="G653" s="6"/>
    </row>
    <row r="654" customHeight="1" spans="1:7">
      <c r="A654" s="6"/>
      <c r="B654" s="6"/>
      <c r="C654" s="6"/>
      <c r="D654" s="6"/>
      <c r="E654" s="6"/>
      <c r="F654" s="6"/>
      <c r="G654" s="6"/>
    </row>
    <row r="655" customHeight="1" spans="1:7">
      <c r="A655" s="6"/>
      <c r="B655" s="6"/>
      <c r="C655" s="6"/>
      <c r="D655" s="6"/>
      <c r="E655" s="6"/>
      <c r="F655" s="6"/>
      <c r="G655" s="6"/>
    </row>
    <row r="656" customHeight="1" spans="1:7">
      <c r="A656" s="6"/>
      <c r="B656" s="6"/>
      <c r="C656" s="6"/>
      <c r="D656" s="6"/>
      <c r="E656" s="6"/>
      <c r="F656" s="6"/>
      <c r="G656" s="6"/>
    </row>
    <row r="657" customHeight="1" spans="1:7">
      <c r="A657" s="6"/>
      <c r="B657" s="6"/>
      <c r="C657" s="6"/>
      <c r="D657" s="6"/>
      <c r="E657" s="6"/>
      <c r="F657" s="6"/>
      <c r="G657" s="6"/>
    </row>
    <row r="658" customHeight="1" spans="1:7">
      <c r="A658" s="6"/>
      <c r="B658" s="6"/>
      <c r="C658" s="6"/>
      <c r="D658" s="6"/>
      <c r="E658" s="6"/>
      <c r="F658" s="6"/>
      <c r="G658" s="6"/>
    </row>
    <row r="659" customHeight="1" spans="1:7">
      <c r="A659" s="6"/>
      <c r="B659" s="6"/>
      <c r="C659" s="6"/>
      <c r="D659" s="6"/>
      <c r="E659" s="6"/>
      <c r="F659" s="6"/>
      <c r="G659" s="6"/>
    </row>
    <row r="660" customHeight="1" spans="1:7">
      <c r="A660" s="6"/>
      <c r="B660" s="6"/>
      <c r="C660" s="6"/>
      <c r="D660" s="6"/>
      <c r="E660" s="6"/>
      <c r="F660" s="6"/>
      <c r="G660" s="6"/>
    </row>
    <row r="661" customHeight="1" spans="1:7">
      <c r="A661" s="6"/>
      <c r="B661" s="6"/>
      <c r="C661" s="6"/>
      <c r="D661" s="6"/>
      <c r="E661" s="6"/>
      <c r="F661" s="6"/>
      <c r="G661" s="6"/>
    </row>
    <row r="662" customHeight="1" spans="1:7">
      <c r="A662" s="6"/>
      <c r="B662" s="6"/>
      <c r="C662" s="6"/>
      <c r="D662" s="6"/>
      <c r="E662" s="6"/>
      <c r="F662" s="6"/>
      <c r="G662" s="6"/>
    </row>
    <row r="663" customHeight="1" spans="1:7">
      <c r="A663" s="6"/>
      <c r="B663" s="6"/>
      <c r="C663" s="6"/>
      <c r="D663" s="6"/>
      <c r="E663" s="6"/>
      <c r="F663" s="6"/>
      <c r="G663" s="6"/>
    </row>
    <row r="664" customHeight="1" spans="1:7">
      <c r="A664" s="6"/>
      <c r="B664" s="6"/>
      <c r="C664" s="6"/>
      <c r="D664" s="6"/>
      <c r="E664" s="6"/>
      <c r="F664" s="6"/>
      <c r="G664" s="6"/>
    </row>
    <row r="665" customHeight="1" spans="1:7">
      <c r="A665" s="6"/>
      <c r="B665" s="6"/>
      <c r="C665" s="6"/>
      <c r="D665" s="6"/>
      <c r="E665" s="6"/>
      <c r="F665" s="6"/>
      <c r="G665" s="6"/>
    </row>
    <row r="666" customHeight="1" spans="1:7">
      <c r="A666" s="6"/>
      <c r="B666" s="6"/>
      <c r="C666" s="6"/>
      <c r="D666" s="6"/>
      <c r="E666" s="6"/>
      <c r="F666" s="6"/>
      <c r="G666" s="6"/>
    </row>
    <row r="667" customHeight="1" spans="1:7">
      <c r="A667" s="6"/>
      <c r="B667" s="6"/>
      <c r="C667" s="6"/>
      <c r="D667" s="6"/>
      <c r="E667" s="6"/>
      <c r="F667" s="6"/>
      <c r="G667" s="6"/>
    </row>
    <row r="668" customHeight="1" spans="1:7">
      <c r="A668" s="6"/>
      <c r="B668" s="6"/>
      <c r="C668" s="6"/>
      <c r="D668" s="6"/>
      <c r="E668" s="6"/>
      <c r="F668" s="6"/>
      <c r="G668" s="6"/>
    </row>
    <row r="669" customHeight="1" spans="1:7">
      <c r="A669" s="6"/>
      <c r="B669" s="6"/>
      <c r="C669" s="6"/>
      <c r="D669" s="6"/>
      <c r="E669" s="6"/>
      <c r="F669" s="6"/>
      <c r="G669" s="6"/>
    </row>
    <row r="670" customHeight="1" spans="1:7">
      <c r="A670" s="6"/>
      <c r="B670" s="6"/>
      <c r="C670" s="6"/>
      <c r="D670" s="6"/>
      <c r="E670" s="6"/>
      <c r="F670" s="6"/>
      <c r="G670" s="6"/>
    </row>
    <row r="671" customHeight="1" spans="1:7">
      <c r="A671" s="6"/>
      <c r="B671" s="6"/>
      <c r="C671" s="6"/>
      <c r="D671" s="6"/>
      <c r="E671" s="6"/>
      <c r="F671" s="6"/>
      <c r="G671" s="6"/>
    </row>
    <row r="672" customHeight="1" spans="1:7">
      <c r="A672" s="6"/>
      <c r="B672" s="6"/>
      <c r="C672" s="6"/>
      <c r="D672" s="6"/>
      <c r="E672" s="6"/>
      <c r="F672" s="6"/>
      <c r="G672" s="6"/>
    </row>
    <row r="673" customHeight="1" spans="1:7">
      <c r="A673" s="6"/>
      <c r="B673" s="6"/>
      <c r="C673" s="6"/>
      <c r="D673" s="6"/>
      <c r="E673" s="6"/>
      <c r="F673" s="6"/>
      <c r="G673" s="6"/>
    </row>
    <row r="674" customHeight="1" spans="1:7">
      <c r="A674" s="6"/>
      <c r="B674" s="6"/>
      <c r="C674" s="6"/>
      <c r="D674" s="6"/>
      <c r="E674" s="6"/>
      <c r="F674" s="6"/>
      <c r="G674" s="6"/>
    </row>
    <row r="675" customHeight="1" spans="1:7">
      <c r="A675" s="6"/>
      <c r="B675" s="6"/>
      <c r="C675" s="6"/>
      <c r="D675" s="6"/>
      <c r="E675" s="6"/>
      <c r="F675" s="6"/>
      <c r="G675" s="6"/>
    </row>
    <row r="676" customHeight="1" spans="1:7">
      <c r="A676" s="6"/>
      <c r="B676" s="6"/>
      <c r="C676" s="6"/>
      <c r="D676" s="6"/>
      <c r="E676" s="6"/>
      <c r="F676" s="6"/>
      <c r="G676" s="6"/>
    </row>
    <row r="677" customHeight="1" spans="1:7">
      <c r="A677" s="6"/>
      <c r="B677" s="6"/>
      <c r="C677" s="6"/>
      <c r="D677" s="6"/>
      <c r="E677" s="6"/>
      <c r="F677" s="6"/>
      <c r="G677" s="6"/>
    </row>
    <row r="678" customHeight="1" spans="1:7">
      <c r="A678" s="6"/>
      <c r="B678" s="6"/>
      <c r="C678" s="6"/>
      <c r="D678" s="6"/>
      <c r="E678" s="6"/>
      <c r="F678" s="6"/>
      <c r="G678" s="6"/>
    </row>
    <row r="679" customHeight="1" spans="1:7">
      <c r="A679" s="6"/>
      <c r="B679" s="6"/>
      <c r="C679" s="6"/>
      <c r="D679" s="6"/>
      <c r="E679" s="6"/>
      <c r="F679" s="6"/>
      <c r="G679" s="6"/>
    </row>
    <row r="680" customHeight="1" spans="1:7">
      <c r="A680" s="6"/>
      <c r="B680" s="6"/>
      <c r="C680" s="6"/>
      <c r="D680" s="6"/>
      <c r="E680" s="6"/>
      <c r="F680" s="6"/>
      <c r="G680" s="6"/>
    </row>
    <row r="681" customHeight="1" spans="1:7">
      <c r="A681" s="6"/>
      <c r="B681" s="6"/>
      <c r="C681" s="6"/>
      <c r="D681" s="6"/>
      <c r="E681" s="6"/>
      <c r="F681" s="6"/>
      <c r="G681" s="6"/>
    </row>
    <row r="682" customHeight="1" spans="1:7">
      <c r="A682" s="6"/>
      <c r="B682" s="6"/>
      <c r="C682" s="6"/>
      <c r="D682" s="6"/>
      <c r="E682" s="6"/>
      <c r="F682" s="6"/>
      <c r="G682" s="6"/>
    </row>
    <row r="683" customHeight="1" spans="1:7">
      <c r="A683" s="6"/>
      <c r="B683" s="6"/>
      <c r="C683" s="6"/>
      <c r="D683" s="6"/>
      <c r="E683" s="6"/>
      <c r="F683" s="6"/>
      <c r="G683" s="6"/>
    </row>
    <row r="684" customHeight="1" spans="1:7">
      <c r="A684" s="6"/>
      <c r="B684" s="6"/>
      <c r="C684" s="6"/>
      <c r="D684" s="6"/>
      <c r="E684" s="6"/>
      <c r="F684" s="6"/>
      <c r="G684" s="6"/>
    </row>
    <row r="685" customHeight="1" spans="1:7">
      <c r="A685" s="6"/>
      <c r="B685" s="6"/>
      <c r="C685" s="6"/>
      <c r="D685" s="6"/>
      <c r="E685" s="6"/>
      <c r="F685" s="6"/>
      <c r="G685" s="6"/>
    </row>
    <row r="686" customHeight="1" spans="1:7">
      <c r="A686" s="6"/>
      <c r="B686" s="6"/>
      <c r="C686" s="6"/>
      <c r="D686" s="6"/>
      <c r="E686" s="6"/>
      <c r="F686" s="6"/>
      <c r="G686" s="6"/>
    </row>
    <row r="687" customHeight="1" spans="1:7">
      <c r="A687" s="6"/>
      <c r="B687" s="6"/>
      <c r="C687" s="6"/>
      <c r="D687" s="6"/>
      <c r="E687" s="6"/>
      <c r="F687" s="6"/>
      <c r="G687" s="6"/>
    </row>
    <row r="688" customHeight="1" spans="1:7">
      <c r="A688" s="6"/>
      <c r="B688" s="6"/>
      <c r="C688" s="6"/>
      <c r="D688" s="6"/>
      <c r="E688" s="6"/>
      <c r="F688" s="6"/>
      <c r="G688" s="6"/>
    </row>
    <row r="689" customHeight="1" spans="1:7">
      <c r="A689" s="6"/>
      <c r="B689" s="6"/>
      <c r="C689" s="6"/>
      <c r="D689" s="6"/>
      <c r="E689" s="6"/>
      <c r="F689" s="6"/>
      <c r="G689" s="6"/>
    </row>
    <row r="690" customHeight="1" spans="1:7">
      <c r="A690" s="6"/>
      <c r="B690" s="6"/>
      <c r="C690" s="6"/>
      <c r="D690" s="6"/>
      <c r="E690" s="6"/>
      <c r="F690" s="6"/>
      <c r="G690" s="6"/>
    </row>
    <row r="691" customHeight="1" spans="1:7">
      <c r="A691" s="6"/>
      <c r="B691" s="6"/>
      <c r="C691" s="6"/>
      <c r="D691" s="6"/>
      <c r="E691" s="6"/>
      <c r="F691" s="6"/>
      <c r="G691" s="6"/>
    </row>
    <row r="692" customHeight="1" spans="1:7">
      <c r="A692" s="6"/>
      <c r="B692" s="6"/>
      <c r="C692" s="6"/>
      <c r="D692" s="6"/>
      <c r="E692" s="6"/>
      <c r="F692" s="6"/>
      <c r="G692" s="6"/>
    </row>
    <row r="693" customHeight="1" spans="1:7">
      <c r="A693" s="6"/>
      <c r="B693" s="6"/>
      <c r="C693" s="6"/>
      <c r="D693" s="6"/>
      <c r="E693" s="6"/>
      <c r="F693" s="6"/>
      <c r="G693" s="6"/>
    </row>
    <row r="694" customHeight="1" spans="1:7">
      <c r="A694" s="6"/>
      <c r="B694" s="6"/>
      <c r="C694" s="6"/>
      <c r="D694" s="6"/>
      <c r="E694" s="6"/>
      <c r="F694" s="6"/>
      <c r="G694" s="6"/>
    </row>
    <row r="695" customHeight="1" spans="1:7">
      <c r="A695" s="6"/>
      <c r="B695" s="6"/>
      <c r="C695" s="6"/>
      <c r="D695" s="6"/>
      <c r="E695" s="6"/>
      <c r="F695" s="6"/>
      <c r="G695" s="6"/>
    </row>
    <row r="696" customHeight="1" spans="1:7">
      <c r="A696" s="6"/>
      <c r="B696" s="6"/>
      <c r="C696" s="6"/>
      <c r="D696" s="6"/>
      <c r="E696" s="6"/>
      <c r="F696" s="6"/>
      <c r="G696" s="6"/>
    </row>
    <row r="697" customHeight="1" spans="1:7">
      <c r="A697" s="6"/>
      <c r="B697" s="6"/>
      <c r="C697" s="6"/>
      <c r="D697" s="6"/>
      <c r="E697" s="6"/>
      <c r="F697" s="6"/>
      <c r="G697" s="6"/>
    </row>
    <row r="698" customHeight="1" spans="1:7">
      <c r="A698" s="6"/>
      <c r="B698" s="6"/>
      <c r="C698" s="6"/>
      <c r="D698" s="6"/>
      <c r="E698" s="6"/>
      <c r="F698" s="6"/>
      <c r="G698" s="6"/>
    </row>
    <row r="699" customHeight="1" spans="1:7">
      <c r="A699" s="6"/>
      <c r="B699" s="6"/>
      <c r="C699" s="6"/>
      <c r="D699" s="6"/>
      <c r="E699" s="6"/>
      <c r="F699" s="6"/>
      <c r="G699" s="6"/>
    </row>
    <row r="700" customHeight="1" spans="1:7">
      <c r="A700" s="6"/>
      <c r="B700" s="6"/>
      <c r="C700" s="6"/>
      <c r="D700" s="6"/>
      <c r="E700" s="6"/>
      <c r="F700" s="6"/>
      <c r="G700" s="6"/>
    </row>
    <row r="701" customHeight="1" spans="1:7">
      <c r="A701" s="6"/>
      <c r="B701" s="6"/>
      <c r="C701" s="6"/>
      <c r="D701" s="6"/>
      <c r="E701" s="6"/>
      <c r="F701" s="6"/>
      <c r="G701" s="6"/>
    </row>
    <row r="702" customHeight="1" spans="1:7">
      <c r="A702" s="6"/>
      <c r="B702" s="6"/>
      <c r="C702" s="6"/>
      <c r="D702" s="6"/>
      <c r="E702" s="6"/>
      <c r="F702" s="6"/>
      <c r="G702" s="6"/>
    </row>
    <row r="703" customHeight="1" spans="1:7">
      <c r="A703" s="6"/>
      <c r="B703" s="6"/>
      <c r="C703" s="6"/>
      <c r="D703" s="6"/>
      <c r="E703" s="6"/>
      <c r="F703" s="6"/>
      <c r="G703" s="6"/>
    </row>
    <row r="704" customHeight="1" spans="1:7">
      <c r="A704" s="6"/>
      <c r="B704" s="6"/>
      <c r="C704" s="6"/>
      <c r="D704" s="6"/>
      <c r="E704" s="6"/>
      <c r="F704" s="6"/>
      <c r="G704" s="6"/>
    </row>
    <row r="705" customHeight="1" spans="1:7">
      <c r="A705" s="6"/>
      <c r="B705" s="6"/>
      <c r="C705" s="6"/>
      <c r="D705" s="6"/>
      <c r="E705" s="6"/>
      <c r="F705" s="6"/>
      <c r="G705" s="6"/>
    </row>
    <row r="706" customHeight="1" spans="1:7">
      <c r="A706" s="6"/>
      <c r="B706" s="6"/>
      <c r="C706" s="6"/>
      <c r="D706" s="6"/>
      <c r="E706" s="6"/>
      <c r="F706" s="6"/>
      <c r="G706" s="6"/>
    </row>
    <row r="707" customHeight="1" spans="1:7">
      <c r="A707" s="6"/>
      <c r="B707" s="6"/>
      <c r="C707" s="6"/>
      <c r="D707" s="6"/>
      <c r="E707" s="6"/>
      <c r="F707" s="6"/>
      <c r="G707" s="6"/>
    </row>
    <row r="708" customHeight="1" spans="1:7">
      <c r="A708" s="6"/>
      <c r="B708" s="6"/>
      <c r="C708" s="6"/>
      <c r="D708" s="6"/>
      <c r="E708" s="6"/>
      <c r="F708" s="6"/>
      <c r="G708" s="6"/>
    </row>
    <row r="709" customHeight="1" spans="1:7">
      <c r="A709" s="6"/>
      <c r="B709" s="6"/>
      <c r="C709" s="6"/>
      <c r="D709" s="6"/>
      <c r="E709" s="6"/>
      <c r="F709" s="6"/>
      <c r="G709" s="6"/>
    </row>
    <row r="710" customHeight="1" spans="1:7">
      <c r="A710" s="6"/>
      <c r="B710" s="6"/>
      <c r="C710" s="6"/>
      <c r="D710" s="6"/>
      <c r="E710" s="6"/>
      <c r="F710" s="6"/>
      <c r="G710" s="6"/>
    </row>
    <row r="711" customHeight="1" spans="1:7">
      <c r="A711" s="6"/>
      <c r="B711" s="6"/>
      <c r="C711" s="6"/>
      <c r="D711" s="6"/>
      <c r="E711" s="6"/>
      <c r="F711" s="6"/>
      <c r="G711" s="6"/>
    </row>
    <row r="712" customHeight="1" spans="1:7">
      <c r="A712" s="6"/>
      <c r="B712" s="6"/>
      <c r="C712" s="6"/>
      <c r="D712" s="6"/>
      <c r="E712" s="6"/>
      <c r="F712" s="6"/>
      <c r="G712" s="6"/>
    </row>
    <row r="713" customHeight="1" spans="1:7">
      <c r="A713" s="6"/>
      <c r="B713" s="6"/>
      <c r="C713" s="6"/>
      <c r="D713" s="6"/>
      <c r="E713" s="6"/>
      <c r="F713" s="6"/>
      <c r="G713" s="6"/>
    </row>
    <row r="714" customHeight="1" spans="1:7">
      <c r="A714" s="6"/>
      <c r="B714" s="6"/>
      <c r="C714" s="6"/>
      <c r="D714" s="6"/>
      <c r="E714" s="6"/>
      <c r="F714" s="6"/>
      <c r="G714" s="6"/>
    </row>
    <row r="715" customHeight="1" spans="1:7">
      <c r="A715" s="6"/>
      <c r="B715" s="6"/>
      <c r="C715" s="6"/>
      <c r="D715" s="6"/>
      <c r="E715" s="6"/>
      <c r="F715" s="6"/>
      <c r="G715" s="6"/>
    </row>
    <row r="716" customHeight="1" spans="1:7">
      <c r="A716" s="6"/>
      <c r="B716" s="6"/>
      <c r="C716" s="6"/>
      <c r="D716" s="6"/>
      <c r="E716" s="6"/>
      <c r="F716" s="6"/>
      <c r="G716" s="6"/>
    </row>
    <row r="717" customHeight="1" spans="1:7">
      <c r="A717" s="6"/>
      <c r="B717" s="6"/>
      <c r="C717" s="6"/>
      <c r="D717" s="6"/>
      <c r="E717" s="6"/>
      <c r="F717" s="6"/>
      <c r="G717" s="6"/>
    </row>
    <row r="718" customHeight="1" spans="1:7">
      <c r="A718" s="6"/>
      <c r="B718" s="6"/>
      <c r="C718" s="6"/>
      <c r="D718" s="6"/>
      <c r="E718" s="6"/>
      <c r="F718" s="6"/>
      <c r="G718" s="6"/>
    </row>
    <row r="719" customHeight="1" spans="1:7">
      <c r="A719" s="6"/>
      <c r="B719" s="6"/>
      <c r="C719" s="6"/>
      <c r="D719" s="6"/>
      <c r="E719" s="6"/>
      <c r="F719" s="6"/>
      <c r="G719" s="6"/>
    </row>
    <row r="720" customHeight="1" spans="1:7">
      <c r="A720" s="6"/>
      <c r="B720" s="6"/>
      <c r="C720" s="6"/>
      <c r="D720" s="6"/>
      <c r="E720" s="6"/>
      <c r="F720" s="6"/>
      <c r="G720" s="6"/>
    </row>
    <row r="721" customHeight="1" spans="1:7">
      <c r="A721" s="6"/>
      <c r="B721" s="6"/>
      <c r="C721" s="6"/>
      <c r="D721" s="6"/>
      <c r="E721" s="6"/>
      <c r="F721" s="6"/>
      <c r="G721" s="6"/>
    </row>
    <row r="722" customHeight="1" spans="1:7">
      <c r="A722" s="6"/>
      <c r="B722" s="6"/>
      <c r="C722" s="6"/>
      <c r="D722" s="6"/>
      <c r="E722" s="6"/>
      <c r="F722" s="6"/>
      <c r="G722" s="6"/>
    </row>
    <row r="723" customHeight="1" spans="1:7">
      <c r="A723" s="6"/>
      <c r="B723" s="6"/>
      <c r="C723" s="6"/>
      <c r="D723" s="6"/>
      <c r="E723" s="6"/>
      <c r="F723" s="6"/>
      <c r="G723" s="6"/>
    </row>
    <row r="724" customHeight="1" spans="1:7">
      <c r="A724" s="6"/>
      <c r="B724" s="6"/>
      <c r="C724" s="6"/>
      <c r="D724" s="6"/>
      <c r="E724" s="6"/>
      <c r="F724" s="6"/>
      <c r="G724" s="6"/>
    </row>
    <row r="725" customHeight="1" spans="1:7">
      <c r="A725" s="6"/>
      <c r="B725" s="6"/>
      <c r="C725" s="6"/>
      <c r="D725" s="6"/>
      <c r="E725" s="6"/>
      <c r="F725" s="6"/>
      <c r="G725" s="6"/>
    </row>
    <row r="726" customHeight="1" spans="1:7">
      <c r="A726" s="6"/>
      <c r="B726" s="6"/>
      <c r="C726" s="6"/>
      <c r="D726" s="6"/>
      <c r="E726" s="6"/>
      <c r="F726" s="6"/>
      <c r="G726" s="6"/>
    </row>
    <row r="727" customHeight="1" spans="1:7">
      <c r="A727" s="6"/>
      <c r="B727" s="6"/>
      <c r="C727" s="6"/>
      <c r="D727" s="6"/>
      <c r="E727" s="6"/>
      <c r="F727" s="6"/>
      <c r="G727" s="6"/>
    </row>
    <row r="728" customHeight="1" spans="1:7">
      <c r="A728" s="6"/>
      <c r="B728" s="6"/>
      <c r="C728" s="6"/>
      <c r="D728" s="6"/>
      <c r="E728" s="6"/>
      <c r="F728" s="6"/>
      <c r="G728" s="6"/>
    </row>
    <row r="729" customHeight="1" spans="1:7">
      <c r="A729" s="6"/>
      <c r="B729" s="6"/>
      <c r="C729" s="6"/>
      <c r="D729" s="6"/>
      <c r="E729" s="6"/>
      <c r="F729" s="6"/>
      <c r="G729" s="6"/>
    </row>
    <row r="730" customHeight="1" spans="1:7">
      <c r="A730" s="6"/>
      <c r="B730" s="6"/>
      <c r="C730" s="6"/>
      <c r="D730" s="6"/>
      <c r="E730" s="6"/>
      <c r="F730" s="6"/>
      <c r="G730" s="6"/>
    </row>
    <row r="731" customHeight="1" spans="1:7">
      <c r="A731" s="6"/>
      <c r="B731" s="6"/>
      <c r="C731" s="6"/>
      <c r="D731" s="6"/>
      <c r="E731" s="6"/>
      <c r="F731" s="6"/>
      <c r="G731" s="6"/>
    </row>
    <row r="732" customHeight="1" spans="1:7">
      <c r="A732" s="6"/>
      <c r="B732" s="6"/>
      <c r="C732" s="6"/>
      <c r="D732" s="6"/>
      <c r="E732" s="6"/>
      <c r="F732" s="6"/>
      <c r="G732" s="6"/>
    </row>
    <row r="733" customHeight="1" spans="1:7">
      <c r="A733" s="6"/>
      <c r="B733" s="6"/>
      <c r="C733" s="6"/>
      <c r="D733" s="6"/>
      <c r="E733" s="6"/>
      <c r="F733" s="6"/>
      <c r="G733" s="6"/>
    </row>
    <row r="734" customHeight="1" spans="1:7">
      <c r="A734" s="6"/>
      <c r="B734" s="6"/>
      <c r="C734" s="6"/>
      <c r="D734" s="6"/>
      <c r="E734" s="6"/>
      <c r="F734" s="6"/>
      <c r="G734" s="6"/>
    </row>
    <row r="735" customHeight="1" spans="1:7">
      <c r="A735" s="6"/>
      <c r="B735" s="6"/>
      <c r="C735" s="6"/>
      <c r="D735" s="6"/>
      <c r="E735" s="6"/>
      <c r="F735" s="6"/>
      <c r="G735" s="6"/>
    </row>
    <row r="736" customHeight="1" spans="1:7">
      <c r="A736" s="6"/>
      <c r="B736" s="6"/>
      <c r="C736" s="6"/>
      <c r="D736" s="6"/>
      <c r="E736" s="6"/>
      <c r="F736" s="6"/>
      <c r="G736" s="6"/>
    </row>
    <row r="737" customHeight="1" spans="1:7">
      <c r="A737" s="6"/>
      <c r="B737" s="6"/>
      <c r="C737" s="6"/>
      <c r="D737" s="6"/>
      <c r="E737" s="6"/>
      <c r="F737" s="6"/>
      <c r="G737" s="6"/>
    </row>
    <row r="738" customHeight="1" spans="1:7">
      <c r="A738" s="6"/>
      <c r="B738" s="6"/>
      <c r="C738" s="6"/>
      <c r="D738" s="6"/>
      <c r="E738" s="6"/>
      <c r="F738" s="6"/>
      <c r="G738" s="6"/>
    </row>
    <row r="739" customHeight="1" spans="1:7">
      <c r="A739" s="6"/>
      <c r="B739" s="6"/>
      <c r="C739" s="6"/>
      <c r="D739" s="6"/>
      <c r="E739" s="6"/>
      <c r="F739" s="6"/>
      <c r="G739" s="6"/>
    </row>
    <row r="740" customHeight="1" spans="1:7">
      <c r="A740" s="6"/>
      <c r="B740" s="6"/>
      <c r="C740" s="6"/>
      <c r="D740" s="6"/>
      <c r="E740" s="6"/>
      <c r="F740" s="6"/>
      <c r="G740" s="6"/>
    </row>
    <row r="741" customHeight="1" spans="1:7">
      <c r="A741" s="6"/>
      <c r="B741" s="6"/>
      <c r="C741" s="6"/>
      <c r="D741" s="6"/>
      <c r="E741" s="6"/>
      <c r="F741" s="6"/>
      <c r="G741" s="6"/>
    </row>
    <row r="742" customHeight="1" spans="1:7">
      <c r="A742" s="6"/>
      <c r="B742" s="6"/>
      <c r="C742" s="6"/>
      <c r="D742" s="6"/>
      <c r="E742" s="6"/>
      <c r="F742" s="6"/>
      <c r="G742" s="6"/>
    </row>
    <row r="743" customHeight="1" spans="1:7">
      <c r="A743" s="6"/>
      <c r="B743" s="6"/>
      <c r="C743" s="6"/>
      <c r="D743" s="6"/>
      <c r="E743" s="6"/>
      <c r="F743" s="6"/>
      <c r="G743" s="6"/>
    </row>
    <row r="744" customHeight="1" spans="1:7">
      <c r="A744" s="6"/>
      <c r="B744" s="6"/>
      <c r="C744" s="6"/>
      <c r="D744" s="6"/>
      <c r="E744" s="6"/>
      <c r="F744" s="6"/>
      <c r="G744" s="6"/>
    </row>
    <row r="745" customHeight="1" spans="1:7">
      <c r="A745" s="6"/>
      <c r="B745" s="6"/>
      <c r="C745" s="6"/>
      <c r="D745" s="6"/>
      <c r="E745" s="6"/>
      <c r="F745" s="6"/>
      <c r="G745" s="6"/>
    </row>
    <row r="746" customHeight="1" spans="1:7">
      <c r="A746" s="6"/>
      <c r="B746" s="6"/>
      <c r="C746" s="6"/>
      <c r="D746" s="6"/>
      <c r="E746" s="6"/>
      <c r="F746" s="6"/>
      <c r="G746" s="6"/>
    </row>
    <row r="747" customHeight="1" spans="1:7">
      <c r="A747" s="6"/>
      <c r="B747" s="6"/>
      <c r="C747" s="6"/>
      <c r="D747" s="6"/>
      <c r="E747" s="6"/>
      <c r="F747" s="6"/>
      <c r="G747" s="6"/>
    </row>
    <row r="748" customHeight="1" spans="1:7">
      <c r="A748" s="6"/>
      <c r="B748" s="6"/>
      <c r="C748" s="6"/>
      <c r="D748" s="6"/>
      <c r="E748" s="6"/>
      <c r="F748" s="6"/>
      <c r="G748" s="6"/>
    </row>
    <row r="749" customHeight="1" spans="1:7">
      <c r="A749" s="6"/>
      <c r="B749" s="6"/>
      <c r="C749" s="6"/>
      <c r="D749" s="6"/>
      <c r="E749" s="6"/>
      <c r="F749" s="6"/>
      <c r="G749" s="6"/>
    </row>
    <row r="750" customHeight="1" spans="1:7">
      <c r="A750" s="6"/>
      <c r="B750" s="6"/>
      <c r="C750" s="6"/>
      <c r="D750" s="6"/>
      <c r="E750" s="6"/>
      <c r="F750" s="6"/>
      <c r="G750" s="6"/>
    </row>
    <row r="751" customHeight="1" spans="1:7">
      <c r="A751" s="6"/>
      <c r="B751" s="6"/>
      <c r="C751" s="6"/>
      <c r="D751" s="6"/>
      <c r="E751" s="6"/>
      <c r="F751" s="6"/>
      <c r="G751" s="6"/>
    </row>
    <row r="752" customHeight="1" spans="1:7">
      <c r="A752" s="6"/>
      <c r="B752" s="6"/>
      <c r="C752" s="6"/>
      <c r="D752" s="6"/>
      <c r="E752" s="6"/>
      <c r="F752" s="6"/>
      <c r="G752" s="6"/>
    </row>
    <row r="753" customHeight="1" spans="1:7">
      <c r="A753" s="6"/>
      <c r="B753" s="6"/>
      <c r="C753" s="6"/>
      <c r="D753" s="6"/>
      <c r="E753" s="6"/>
      <c r="F753" s="6"/>
      <c r="G753" s="6"/>
    </row>
    <row r="754" customHeight="1" spans="1:7">
      <c r="A754" s="6"/>
      <c r="B754" s="6"/>
      <c r="C754" s="6"/>
      <c r="D754" s="6"/>
      <c r="E754" s="6"/>
      <c r="F754" s="6"/>
      <c r="G754" s="6"/>
    </row>
    <row r="755" customHeight="1" spans="1:7">
      <c r="A755" s="6"/>
      <c r="B755" s="6"/>
      <c r="C755" s="6"/>
      <c r="D755" s="6"/>
      <c r="E755" s="6"/>
      <c r="F755" s="6"/>
      <c r="G755" s="6"/>
    </row>
    <row r="756" customHeight="1" spans="1:7">
      <c r="A756" s="6"/>
      <c r="B756" s="6"/>
      <c r="C756" s="6"/>
      <c r="D756" s="6"/>
      <c r="E756" s="6"/>
      <c r="F756" s="6"/>
      <c r="G756" s="6"/>
    </row>
    <row r="757" customHeight="1" spans="1:7">
      <c r="A757" s="6"/>
      <c r="B757" s="6"/>
      <c r="C757" s="6"/>
      <c r="D757" s="6"/>
      <c r="E757" s="6"/>
      <c r="F757" s="6"/>
      <c r="G757" s="6"/>
    </row>
    <row r="758" customHeight="1" spans="1:7">
      <c r="A758" s="6"/>
      <c r="B758" s="6"/>
      <c r="C758" s="6"/>
      <c r="D758" s="6"/>
      <c r="E758" s="6"/>
      <c r="F758" s="6"/>
      <c r="G758" s="6"/>
    </row>
    <row r="759" customHeight="1" spans="1:7">
      <c r="A759" s="6"/>
      <c r="B759" s="6"/>
      <c r="C759" s="6"/>
      <c r="D759" s="6"/>
      <c r="E759" s="6"/>
      <c r="F759" s="6"/>
      <c r="G759" s="6"/>
    </row>
    <row r="760" customHeight="1" spans="1:7">
      <c r="A760" s="6"/>
      <c r="B760" s="6"/>
      <c r="C760" s="6"/>
      <c r="D760" s="6"/>
      <c r="E760" s="6"/>
      <c r="F760" s="6"/>
      <c r="G760" s="6"/>
    </row>
    <row r="761" customHeight="1" spans="1:7">
      <c r="A761" s="6"/>
      <c r="B761" s="6"/>
      <c r="C761" s="6"/>
      <c r="D761" s="6"/>
      <c r="E761" s="6"/>
      <c r="F761" s="6"/>
      <c r="G761" s="6"/>
    </row>
    <row r="762" customHeight="1" spans="1:7">
      <c r="A762" s="6"/>
      <c r="B762" s="6"/>
      <c r="C762" s="6"/>
      <c r="D762" s="6"/>
      <c r="E762" s="6"/>
      <c r="F762" s="6"/>
      <c r="G762" s="6"/>
    </row>
    <row r="763" customHeight="1" spans="1:7">
      <c r="A763" s="6"/>
      <c r="B763" s="6"/>
      <c r="C763" s="6"/>
      <c r="D763" s="6"/>
      <c r="E763" s="6"/>
      <c r="F763" s="6"/>
      <c r="G763" s="6"/>
    </row>
    <row r="764" customHeight="1" spans="1:7">
      <c r="A764" s="6"/>
      <c r="B764" s="6"/>
      <c r="C764" s="6"/>
      <c r="D764" s="6"/>
      <c r="E764" s="6"/>
      <c r="F764" s="6"/>
      <c r="G764" s="6"/>
    </row>
    <row r="765" customHeight="1" spans="1:7">
      <c r="A765" s="6"/>
      <c r="B765" s="6"/>
      <c r="C765" s="6"/>
      <c r="D765" s="6"/>
      <c r="E765" s="6"/>
      <c r="F765" s="6"/>
      <c r="G765" s="6"/>
    </row>
    <row r="766" customHeight="1" spans="1:7">
      <c r="A766" s="6"/>
      <c r="B766" s="6"/>
      <c r="C766" s="6"/>
      <c r="D766" s="6"/>
      <c r="E766" s="6"/>
      <c r="F766" s="6"/>
      <c r="G766" s="6"/>
    </row>
    <row r="767" customHeight="1" spans="1:7">
      <c r="A767" s="6"/>
      <c r="B767" s="6"/>
      <c r="C767" s="6"/>
      <c r="D767" s="6"/>
      <c r="E767" s="6"/>
      <c r="F767" s="6"/>
      <c r="G767" s="6"/>
    </row>
    <row r="768" customHeight="1" spans="1:7">
      <c r="A768" s="6"/>
      <c r="B768" s="6"/>
      <c r="C768" s="6"/>
      <c r="D768" s="6"/>
      <c r="E768" s="6"/>
      <c r="F768" s="6"/>
      <c r="G768" s="6"/>
    </row>
    <row r="769" customHeight="1" spans="1:7">
      <c r="A769" s="6"/>
      <c r="B769" s="6"/>
      <c r="C769" s="6"/>
      <c r="D769" s="6"/>
      <c r="E769" s="6"/>
      <c r="F769" s="6"/>
      <c r="G769" s="6"/>
    </row>
    <row r="770" customHeight="1" spans="1:7">
      <c r="A770" s="6"/>
      <c r="B770" s="6"/>
      <c r="C770" s="6"/>
      <c r="D770" s="6"/>
      <c r="E770" s="6"/>
      <c r="F770" s="6"/>
      <c r="G770" s="6"/>
    </row>
    <row r="771" customHeight="1" spans="1:7">
      <c r="A771" s="6"/>
      <c r="B771" s="6"/>
      <c r="C771" s="6"/>
      <c r="D771" s="6"/>
      <c r="E771" s="6"/>
      <c r="F771" s="6"/>
      <c r="G771" s="6"/>
    </row>
    <row r="772" customHeight="1" spans="1:7">
      <c r="A772" s="6"/>
      <c r="B772" s="6"/>
      <c r="C772" s="6"/>
      <c r="D772" s="6"/>
      <c r="E772" s="6"/>
      <c r="F772" s="6"/>
      <c r="G772" s="6"/>
    </row>
    <row r="773" customHeight="1" spans="1:7">
      <c r="A773" s="6"/>
      <c r="B773" s="6"/>
      <c r="C773" s="6"/>
      <c r="D773" s="6"/>
      <c r="E773" s="6"/>
      <c r="F773" s="6"/>
      <c r="G773" s="6"/>
    </row>
    <row r="774" customHeight="1" spans="1:7">
      <c r="A774" s="6"/>
      <c r="B774" s="6"/>
      <c r="C774" s="6"/>
      <c r="D774" s="6"/>
      <c r="E774" s="6"/>
      <c r="F774" s="6"/>
      <c r="G774" s="6"/>
    </row>
    <row r="775" customHeight="1" spans="1:7">
      <c r="A775" s="6"/>
      <c r="B775" s="6"/>
      <c r="C775" s="6"/>
      <c r="D775" s="6"/>
      <c r="E775" s="6"/>
      <c r="F775" s="6"/>
      <c r="G775" s="6"/>
    </row>
    <row r="776" customHeight="1" spans="1:7">
      <c r="A776" s="6"/>
      <c r="B776" s="6"/>
      <c r="C776" s="6"/>
      <c r="D776" s="6"/>
      <c r="E776" s="6"/>
      <c r="F776" s="6"/>
      <c r="G776" s="6"/>
    </row>
    <row r="777" customHeight="1" spans="1:7">
      <c r="A777" s="6"/>
      <c r="B777" s="6"/>
      <c r="C777" s="6"/>
      <c r="D777" s="6"/>
      <c r="E777" s="6"/>
      <c r="F777" s="6"/>
      <c r="G777" s="6"/>
    </row>
    <row r="778" customHeight="1" spans="1:7">
      <c r="A778" s="6"/>
      <c r="B778" s="6"/>
      <c r="C778" s="6"/>
      <c r="D778" s="6"/>
      <c r="E778" s="6"/>
      <c r="F778" s="6"/>
      <c r="G778" s="6"/>
    </row>
    <row r="779" customHeight="1" spans="1:7">
      <c r="A779" s="6"/>
      <c r="B779" s="6"/>
      <c r="C779" s="6"/>
      <c r="D779" s="6"/>
      <c r="E779" s="6"/>
      <c r="F779" s="6"/>
      <c r="G779" s="6"/>
    </row>
    <row r="780" customHeight="1" spans="1:7">
      <c r="A780" s="6"/>
      <c r="B780" s="6"/>
      <c r="C780" s="6"/>
      <c r="D780" s="6"/>
      <c r="E780" s="6"/>
      <c r="F780" s="6"/>
      <c r="G780" s="6"/>
    </row>
    <row r="781" customHeight="1" spans="1:7">
      <c r="A781" s="6"/>
      <c r="B781" s="6"/>
      <c r="C781" s="6"/>
      <c r="D781" s="6"/>
      <c r="E781" s="6"/>
      <c r="F781" s="6"/>
      <c r="G781" s="6"/>
    </row>
    <row r="782" customHeight="1" spans="1:7">
      <c r="A782" s="6"/>
      <c r="B782" s="6"/>
      <c r="C782" s="6"/>
      <c r="D782" s="6"/>
      <c r="E782" s="6"/>
      <c r="F782" s="6"/>
      <c r="G782" s="6"/>
    </row>
    <row r="783" customHeight="1" spans="1:7">
      <c r="A783" s="6"/>
      <c r="B783" s="6"/>
      <c r="C783" s="6"/>
      <c r="D783" s="6"/>
      <c r="E783" s="6"/>
      <c r="F783" s="6"/>
      <c r="G783" s="6"/>
    </row>
    <row r="784" customHeight="1" spans="1:7">
      <c r="A784" s="6"/>
      <c r="B784" s="6"/>
      <c r="C784" s="6"/>
      <c r="D784" s="6"/>
      <c r="E784" s="6"/>
      <c r="F784" s="6"/>
      <c r="G784" s="6"/>
    </row>
    <row r="785" customHeight="1" spans="1:7">
      <c r="A785" s="6"/>
      <c r="B785" s="6"/>
      <c r="C785" s="6"/>
      <c r="D785" s="6"/>
      <c r="E785" s="6"/>
      <c r="F785" s="6"/>
      <c r="G785" s="6"/>
    </row>
    <row r="786" customHeight="1" spans="1:7">
      <c r="A786" s="6"/>
      <c r="B786" s="6"/>
      <c r="C786" s="6"/>
      <c r="D786" s="6"/>
      <c r="E786" s="6"/>
      <c r="F786" s="6"/>
      <c r="G786" s="6"/>
    </row>
    <row r="787" customHeight="1" spans="1:7">
      <c r="A787" s="6"/>
      <c r="B787" s="6"/>
      <c r="C787" s="6"/>
      <c r="D787" s="6"/>
      <c r="E787" s="6"/>
      <c r="F787" s="6"/>
      <c r="G787" s="6"/>
    </row>
    <row r="788" customHeight="1" spans="1:7">
      <c r="A788" s="6"/>
      <c r="B788" s="6"/>
      <c r="C788" s="6"/>
      <c r="D788" s="6"/>
      <c r="E788" s="6"/>
      <c r="F788" s="6"/>
      <c r="G788" s="6"/>
    </row>
    <row r="789" customHeight="1" spans="1:7">
      <c r="A789" s="6"/>
      <c r="B789" s="6"/>
      <c r="C789" s="6"/>
      <c r="D789" s="6"/>
      <c r="E789" s="6"/>
      <c r="F789" s="6"/>
      <c r="G789" s="6"/>
    </row>
    <row r="790" customHeight="1" spans="1:7">
      <c r="A790" s="6"/>
      <c r="B790" s="6"/>
      <c r="C790" s="6"/>
      <c r="D790" s="6"/>
      <c r="E790" s="6"/>
      <c r="F790" s="6"/>
      <c r="G790" s="6"/>
    </row>
    <row r="791" customHeight="1" spans="1:7">
      <c r="A791" s="6"/>
      <c r="B791" s="6"/>
      <c r="C791" s="6"/>
      <c r="D791" s="6"/>
      <c r="E791" s="6"/>
      <c r="F791" s="6"/>
      <c r="G791" s="6"/>
    </row>
    <row r="792" customHeight="1" spans="1:7">
      <c r="A792" s="6"/>
      <c r="B792" s="6"/>
      <c r="C792" s="6"/>
      <c r="D792" s="6"/>
      <c r="E792" s="6"/>
      <c r="F792" s="6"/>
      <c r="G792" s="6"/>
    </row>
    <row r="793" customHeight="1" spans="1:7">
      <c r="A793" s="6"/>
      <c r="B793" s="6"/>
      <c r="C793" s="6"/>
      <c r="D793" s="6"/>
      <c r="E793" s="6"/>
      <c r="F793" s="6"/>
      <c r="G793" s="6"/>
    </row>
    <row r="794" customHeight="1" spans="1:7">
      <c r="A794" s="6"/>
      <c r="B794" s="6"/>
      <c r="C794" s="6"/>
      <c r="D794" s="6"/>
      <c r="E794" s="6"/>
      <c r="F794" s="6"/>
      <c r="G794" s="6"/>
    </row>
    <row r="795" customHeight="1" spans="1:7">
      <c r="A795" s="6"/>
      <c r="B795" s="6"/>
      <c r="C795" s="6"/>
      <c r="D795" s="6"/>
      <c r="E795" s="6"/>
      <c r="F795" s="6"/>
      <c r="G795" s="6"/>
    </row>
    <row r="796" customHeight="1" spans="1:7">
      <c r="A796" s="6"/>
      <c r="B796" s="6"/>
      <c r="C796" s="6"/>
      <c r="D796" s="6"/>
      <c r="E796" s="6"/>
      <c r="F796" s="6"/>
      <c r="G796" s="6"/>
    </row>
    <row r="797" customHeight="1" spans="1:7">
      <c r="A797" s="6"/>
      <c r="B797" s="6"/>
      <c r="C797" s="6"/>
      <c r="D797" s="6"/>
      <c r="E797" s="6"/>
      <c r="F797" s="6"/>
      <c r="G797" s="6"/>
    </row>
    <row r="798" customHeight="1" spans="1:7">
      <c r="A798" s="6"/>
      <c r="B798" s="6"/>
      <c r="C798" s="6"/>
      <c r="D798" s="6"/>
      <c r="E798" s="6"/>
      <c r="F798" s="6"/>
      <c r="G798" s="6"/>
    </row>
    <row r="799" customHeight="1" spans="1:7">
      <c r="A799" s="6"/>
      <c r="B799" s="6"/>
      <c r="C799" s="6"/>
      <c r="D799" s="6"/>
      <c r="E799" s="6"/>
      <c r="F799" s="6"/>
      <c r="G799" s="6"/>
    </row>
    <row r="800" customHeight="1" spans="1:7">
      <c r="A800" s="6"/>
      <c r="B800" s="6"/>
      <c r="C800" s="6"/>
      <c r="D800" s="6"/>
      <c r="E800" s="6"/>
      <c r="F800" s="6"/>
      <c r="G800" s="6"/>
    </row>
    <row r="801" customHeight="1" spans="1:7">
      <c r="A801" s="6"/>
      <c r="B801" s="6"/>
      <c r="C801" s="6"/>
      <c r="D801" s="6"/>
      <c r="E801" s="6"/>
      <c r="F801" s="6"/>
      <c r="G801" s="6"/>
    </row>
    <row r="802" customHeight="1" spans="1:7">
      <c r="A802" s="6"/>
      <c r="B802" s="6"/>
      <c r="C802" s="6"/>
      <c r="D802" s="6"/>
      <c r="E802" s="6"/>
      <c r="F802" s="6"/>
      <c r="G802" s="6"/>
    </row>
    <row r="803" customHeight="1" spans="1:7">
      <c r="A803" s="6"/>
      <c r="B803" s="6"/>
      <c r="C803" s="6"/>
      <c r="D803" s="6"/>
      <c r="E803" s="6"/>
      <c r="F803" s="6"/>
      <c r="G803" s="6"/>
    </row>
    <row r="804" customHeight="1" spans="1:7">
      <c r="A804" s="6"/>
      <c r="B804" s="6"/>
      <c r="C804" s="6"/>
      <c r="D804" s="6"/>
      <c r="E804" s="6"/>
      <c r="F804" s="6"/>
      <c r="G804" s="6"/>
    </row>
    <row r="805" customHeight="1" spans="1:7">
      <c r="A805" s="6"/>
      <c r="B805" s="6"/>
      <c r="C805" s="6"/>
      <c r="D805" s="6"/>
      <c r="E805" s="6"/>
      <c r="F805" s="6"/>
      <c r="G805" s="6"/>
    </row>
    <row r="806" customHeight="1" spans="1:7">
      <c r="A806" s="6"/>
      <c r="B806" s="6"/>
      <c r="C806" s="6"/>
      <c r="D806" s="6"/>
      <c r="E806" s="6"/>
      <c r="F806" s="6"/>
      <c r="G806" s="6"/>
    </row>
    <row r="807" customHeight="1" spans="1:7">
      <c r="A807" s="6"/>
      <c r="B807" s="6"/>
      <c r="C807" s="6"/>
      <c r="D807" s="6"/>
      <c r="E807" s="6"/>
      <c r="F807" s="6"/>
      <c r="G807" s="6"/>
    </row>
    <row r="808" customHeight="1" spans="1:7">
      <c r="A808" s="6"/>
      <c r="B808" s="6"/>
      <c r="C808" s="6"/>
      <c r="D808" s="6"/>
      <c r="E808" s="6"/>
      <c r="F808" s="6"/>
      <c r="G808" s="6"/>
    </row>
    <row r="809" customHeight="1" spans="1:7">
      <c r="A809" s="6"/>
      <c r="B809" s="6"/>
      <c r="C809" s="6"/>
      <c r="D809" s="6"/>
      <c r="E809" s="6"/>
      <c r="F809" s="6"/>
      <c r="G809" s="6"/>
    </row>
    <row r="810" customHeight="1" spans="1:7">
      <c r="A810" s="6"/>
      <c r="B810" s="6"/>
      <c r="C810" s="6"/>
      <c r="D810" s="6"/>
      <c r="E810" s="6"/>
      <c r="F810" s="6"/>
      <c r="G810" s="6"/>
    </row>
    <row r="811" customHeight="1" spans="1:7">
      <c r="A811" s="6"/>
      <c r="B811" s="6"/>
      <c r="C811" s="6"/>
      <c r="D811" s="6"/>
      <c r="E811" s="6"/>
      <c r="F811" s="6"/>
      <c r="G811" s="6"/>
    </row>
    <row r="812" customHeight="1" spans="1:7">
      <c r="A812" s="6"/>
      <c r="B812" s="6"/>
      <c r="C812" s="6"/>
      <c r="D812" s="6"/>
      <c r="E812" s="6"/>
      <c r="F812" s="6"/>
      <c r="G812" s="6"/>
    </row>
    <row r="813" customHeight="1" spans="1:7">
      <c r="A813" s="6"/>
      <c r="B813" s="6"/>
      <c r="C813" s="6"/>
      <c r="D813" s="6"/>
      <c r="E813" s="6"/>
      <c r="F813" s="6"/>
      <c r="G813" s="6"/>
    </row>
    <row r="814" customHeight="1" spans="1:7">
      <c r="A814" s="6"/>
      <c r="B814" s="6"/>
      <c r="C814" s="6"/>
      <c r="D814" s="6"/>
      <c r="E814" s="6"/>
      <c r="F814" s="6"/>
      <c r="G814" s="6"/>
    </row>
    <row r="815" customHeight="1" spans="1:7">
      <c r="A815" s="6"/>
      <c r="B815" s="6"/>
      <c r="C815" s="6"/>
      <c r="D815" s="6"/>
      <c r="E815" s="6"/>
      <c r="F815" s="6"/>
      <c r="G815" s="6"/>
    </row>
    <row r="816" customHeight="1" spans="1:7">
      <c r="A816" s="6"/>
      <c r="B816" s="6"/>
      <c r="C816" s="6"/>
      <c r="D816" s="6"/>
      <c r="E816" s="6"/>
      <c r="F816" s="6"/>
      <c r="G816" s="6"/>
    </row>
    <row r="817" customHeight="1" spans="1:7">
      <c r="A817" s="6"/>
      <c r="B817" s="6"/>
      <c r="C817" s="6"/>
      <c r="D817" s="6"/>
      <c r="E817" s="6"/>
      <c r="F817" s="6"/>
      <c r="G817" s="6"/>
    </row>
    <row r="818" customHeight="1" spans="1:7">
      <c r="A818" s="6"/>
      <c r="B818" s="6"/>
      <c r="C818" s="6"/>
      <c r="D818" s="6"/>
      <c r="E818" s="6"/>
      <c r="F818" s="6"/>
      <c r="G818" s="6"/>
    </row>
    <row r="819" customHeight="1" spans="1:7">
      <c r="A819" s="6"/>
      <c r="B819" s="6"/>
      <c r="C819" s="6"/>
      <c r="D819" s="6"/>
      <c r="E819" s="6"/>
      <c r="F819" s="6"/>
      <c r="G819" s="6"/>
    </row>
    <row r="820" customHeight="1" spans="1:7">
      <c r="A820" s="6"/>
      <c r="B820" s="6"/>
      <c r="C820" s="6"/>
      <c r="D820" s="6"/>
      <c r="E820" s="6"/>
      <c r="F820" s="6"/>
      <c r="G820" s="6"/>
    </row>
    <row r="821" customHeight="1" spans="1:7">
      <c r="A821" s="6"/>
      <c r="B821" s="6"/>
      <c r="C821" s="6"/>
      <c r="D821" s="6"/>
      <c r="E821" s="6"/>
      <c r="F821" s="6"/>
      <c r="G821" s="6"/>
    </row>
    <row r="822" customHeight="1" spans="1:7">
      <c r="A822" s="6"/>
      <c r="B822" s="6"/>
      <c r="C822" s="6"/>
      <c r="D822" s="6"/>
      <c r="E822" s="6"/>
      <c r="F822" s="6"/>
      <c r="G822" s="6"/>
    </row>
    <row r="823" customHeight="1" spans="1:7">
      <c r="A823" s="6"/>
      <c r="B823" s="6"/>
      <c r="C823" s="6"/>
      <c r="D823" s="6"/>
      <c r="E823" s="6"/>
      <c r="F823" s="6"/>
      <c r="G823" s="6"/>
    </row>
    <row r="824" customHeight="1" spans="1:7">
      <c r="A824" s="6"/>
      <c r="B824" s="6"/>
      <c r="C824" s="6"/>
      <c r="D824" s="6"/>
      <c r="E824" s="6"/>
      <c r="F824" s="6"/>
      <c r="G824" s="6"/>
    </row>
    <row r="825" customHeight="1" spans="1:7">
      <c r="A825" s="6"/>
      <c r="B825" s="6"/>
      <c r="C825" s="6"/>
      <c r="D825" s="6"/>
      <c r="E825" s="6"/>
      <c r="F825" s="6"/>
      <c r="G825" s="6"/>
    </row>
    <row r="826" customHeight="1" spans="1:7">
      <c r="A826" s="6"/>
      <c r="B826" s="6"/>
      <c r="C826" s="6"/>
      <c r="D826" s="6"/>
      <c r="E826" s="6"/>
      <c r="F826" s="6"/>
      <c r="G826" s="6"/>
    </row>
    <row r="827" customHeight="1" spans="1:7">
      <c r="A827" s="6"/>
      <c r="B827" s="6"/>
      <c r="C827" s="6"/>
      <c r="D827" s="6"/>
      <c r="E827" s="6"/>
      <c r="F827" s="6"/>
      <c r="G827" s="6"/>
    </row>
    <row r="828" customHeight="1" spans="1:7">
      <c r="A828" s="6"/>
      <c r="B828" s="6"/>
      <c r="C828" s="6"/>
      <c r="D828" s="6"/>
      <c r="E828" s="6"/>
      <c r="F828" s="6"/>
      <c r="G828" s="6"/>
    </row>
    <row r="829" customHeight="1" spans="1:7">
      <c r="A829" s="6"/>
      <c r="B829" s="6"/>
      <c r="C829" s="6"/>
      <c r="D829" s="6"/>
      <c r="E829" s="6"/>
      <c r="F829" s="6"/>
      <c r="G829" s="6"/>
    </row>
    <row r="830" customHeight="1" spans="1:7">
      <c r="A830" s="6"/>
      <c r="B830" s="6"/>
      <c r="C830" s="6"/>
      <c r="D830" s="6"/>
      <c r="E830" s="6"/>
      <c r="F830" s="6"/>
      <c r="G830" s="6"/>
    </row>
    <row r="831" customHeight="1" spans="1:7">
      <c r="A831" s="6"/>
      <c r="B831" s="6"/>
      <c r="C831" s="6"/>
      <c r="D831" s="6"/>
      <c r="E831" s="6"/>
      <c r="F831" s="6"/>
      <c r="G831" s="6"/>
    </row>
    <row r="832" customHeight="1" spans="1:7">
      <c r="A832" s="6"/>
      <c r="B832" s="6"/>
      <c r="C832" s="6"/>
      <c r="D832" s="6"/>
      <c r="E832" s="6"/>
      <c r="F832" s="6"/>
      <c r="G832" s="6"/>
    </row>
    <row r="833" customHeight="1" spans="1:7">
      <c r="A833" s="6"/>
      <c r="B833" s="6"/>
      <c r="C833" s="6"/>
      <c r="D833" s="6"/>
      <c r="E833" s="6"/>
      <c r="F833" s="6"/>
      <c r="G833" s="6"/>
    </row>
    <row r="834" customHeight="1" spans="1:7">
      <c r="A834" s="6"/>
      <c r="B834" s="6"/>
      <c r="C834" s="6"/>
      <c r="D834" s="6"/>
      <c r="E834" s="6"/>
      <c r="F834" s="6"/>
      <c r="G834" s="6"/>
    </row>
    <row r="835" customHeight="1" spans="1:7">
      <c r="A835" s="6"/>
      <c r="B835" s="6"/>
      <c r="C835" s="6"/>
      <c r="D835" s="6"/>
      <c r="E835" s="6"/>
      <c r="F835" s="6"/>
      <c r="G835" s="6"/>
    </row>
    <row r="836" customHeight="1" spans="1:7">
      <c r="A836" s="6"/>
      <c r="B836" s="6"/>
      <c r="C836" s="6"/>
      <c r="D836" s="6"/>
      <c r="E836" s="6"/>
      <c r="F836" s="6"/>
      <c r="G836" s="6"/>
    </row>
    <row r="837" customHeight="1" spans="1:7">
      <c r="A837" s="6"/>
      <c r="B837" s="6"/>
      <c r="C837" s="6"/>
      <c r="D837" s="6"/>
      <c r="E837" s="6"/>
      <c r="F837" s="6"/>
      <c r="G837" s="6"/>
    </row>
    <row r="838" customHeight="1" spans="1:7">
      <c r="A838" s="6"/>
      <c r="B838" s="6"/>
      <c r="C838" s="6"/>
      <c r="D838" s="6"/>
      <c r="E838" s="6"/>
      <c r="F838" s="6"/>
      <c r="G838" s="6"/>
    </row>
    <row r="839" customHeight="1" spans="1:7">
      <c r="A839" s="6"/>
      <c r="B839" s="6"/>
      <c r="C839" s="6"/>
      <c r="D839" s="6"/>
      <c r="E839" s="6"/>
      <c r="F839" s="6"/>
      <c r="G839" s="6"/>
    </row>
    <row r="840" customHeight="1" spans="1:7">
      <c r="A840" s="6"/>
      <c r="B840" s="6"/>
      <c r="C840" s="6"/>
      <c r="D840" s="6"/>
      <c r="E840" s="6"/>
      <c r="F840" s="6"/>
      <c r="G840" s="6"/>
    </row>
    <row r="841" customHeight="1" spans="1:7">
      <c r="A841" s="6"/>
      <c r="B841" s="6"/>
      <c r="C841" s="6"/>
      <c r="D841" s="6"/>
      <c r="E841" s="6"/>
      <c r="F841" s="6"/>
      <c r="G841" s="6"/>
    </row>
    <row r="842" customHeight="1" spans="1:7">
      <c r="A842" s="6"/>
      <c r="B842" s="6"/>
      <c r="C842" s="6"/>
      <c r="D842" s="6"/>
      <c r="E842" s="6"/>
      <c r="F842" s="6"/>
      <c r="G842" s="6"/>
    </row>
    <row r="843" customHeight="1" spans="1:7">
      <c r="A843" s="6"/>
      <c r="B843" s="6"/>
      <c r="C843" s="6"/>
      <c r="D843" s="6"/>
      <c r="E843" s="6"/>
      <c r="F843" s="6"/>
      <c r="G843" s="6"/>
    </row>
    <row r="844" customHeight="1" spans="1:7">
      <c r="A844" s="6"/>
      <c r="B844" s="6"/>
      <c r="C844" s="6"/>
      <c r="D844" s="6"/>
      <c r="E844" s="6"/>
      <c r="F844" s="6"/>
      <c r="G844" s="6"/>
    </row>
    <row r="845" customHeight="1" spans="1:7">
      <c r="A845" s="6"/>
      <c r="B845" s="6"/>
      <c r="C845" s="6"/>
      <c r="D845" s="6"/>
      <c r="E845" s="6"/>
      <c r="F845" s="6"/>
      <c r="G845" s="6"/>
    </row>
    <row r="846" customHeight="1" spans="1:7">
      <c r="A846" s="6"/>
      <c r="B846" s="6"/>
      <c r="C846" s="6"/>
      <c r="D846" s="6"/>
      <c r="E846" s="6"/>
      <c r="F846" s="6"/>
      <c r="G846" s="6"/>
    </row>
    <row r="847" customHeight="1" spans="1:7">
      <c r="A847" s="6"/>
      <c r="B847" s="6"/>
      <c r="C847" s="6"/>
      <c r="D847" s="6"/>
      <c r="E847" s="6"/>
      <c r="F847" s="6"/>
      <c r="G847" s="6"/>
    </row>
    <row r="848" customHeight="1" spans="1:7">
      <c r="A848" s="6"/>
      <c r="B848" s="6"/>
      <c r="C848" s="6"/>
      <c r="D848" s="6"/>
      <c r="E848" s="6"/>
      <c r="F848" s="6"/>
      <c r="G848" s="6"/>
    </row>
    <row r="849" customHeight="1" spans="1:7">
      <c r="A849" s="6"/>
      <c r="B849" s="6"/>
      <c r="C849" s="6"/>
      <c r="D849" s="6"/>
      <c r="E849" s="6"/>
      <c r="F849" s="6"/>
      <c r="G849" s="6"/>
    </row>
    <row r="850" customHeight="1" spans="1:7">
      <c r="A850" s="6"/>
      <c r="B850" s="6"/>
      <c r="C850" s="6"/>
      <c r="D850" s="6"/>
      <c r="E850" s="6"/>
      <c r="F850" s="6"/>
      <c r="G850" s="6"/>
    </row>
    <row r="851" customHeight="1" spans="1:7">
      <c r="A851" s="6"/>
      <c r="B851" s="6"/>
      <c r="C851" s="6"/>
      <c r="D851" s="6"/>
      <c r="E851" s="6"/>
      <c r="F851" s="6"/>
      <c r="G851" s="6"/>
    </row>
    <row r="852" customHeight="1" spans="1:7">
      <c r="A852" s="6"/>
      <c r="B852" s="6"/>
      <c r="C852" s="6"/>
      <c r="D852" s="6"/>
      <c r="E852" s="6"/>
      <c r="F852" s="6"/>
      <c r="G852" s="6"/>
    </row>
    <row r="853" customHeight="1" spans="1:7">
      <c r="A853" s="6"/>
      <c r="B853" s="6"/>
      <c r="C853" s="6"/>
      <c r="D853" s="6"/>
      <c r="E853" s="6"/>
      <c r="F853" s="6"/>
      <c r="G853" s="6"/>
    </row>
    <row r="854" customHeight="1" spans="1:7">
      <c r="A854" s="6"/>
      <c r="B854" s="6"/>
      <c r="C854" s="6"/>
      <c r="D854" s="6"/>
      <c r="E854" s="6"/>
      <c r="F854" s="6"/>
      <c r="G854" s="6"/>
    </row>
    <row r="855" customHeight="1" spans="1:7">
      <c r="A855" s="6"/>
      <c r="B855" s="6"/>
      <c r="C855" s="6"/>
      <c r="D855" s="6"/>
      <c r="E855" s="6"/>
      <c r="F855" s="6"/>
      <c r="G855" s="6"/>
    </row>
    <row r="856" customHeight="1" spans="1:7">
      <c r="A856" s="6"/>
      <c r="B856" s="6"/>
      <c r="C856" s="6"/>
      <c r="D856" s="6"/>
      <c r="E856" s="6"/>
      <c r="F856" s="6"/>
      <c r="G856" s="6"/>
    </row>
    <row r="857" customHeight="1" spans="1:7">
      <c r="A857" s="6"/>
      <c r="B857" s="6"/>
      <c r="C857" s="6"/>
      <c r="D857" s="6"/>
      <c r="E857" s="6"/>
      <c r="F857" s="6"/>
      <c r="G857" s="6"/>
    </row>
    <row r="858" customHeight="1" spans="1:7">
      <c r="A858" s="6"/>
      <c r="B858" s="6"/>
      <c r="C858" s="6"/>
      <c r="D858" s="6"/>
      <c r="E858" s="6"/>
      <c r="F858" s="6"/>
      <c r="G858" s="6"/>
    </row>
    <row r="859" customHeight="1" spans="1:7">
      <c r="A859" s="6"/>
      <c r="B859" s="6"/>
      <c r="C859" s="6"/>
      <c r="D859" s="6"/>
      <c r="E859" s="6"/>
      <c r="F859" s="6"/>
      <c r="G859" s="6"/>
    </row>
    <row r="860" customHeight="1" spans="1:7">
      <c r="A860" s="6"/>
      <c r="B860" s="6"/>
      <c r="C860" s="6"/>
      <c r="D860" s="6"/>
      <c r="E860" s="6"/>
      <c r="F860" s="6"/>
      <c r="G860" s="6"/>
    </row>
    <row r="861" customHeight="1" spans="1:7">
      <c r="A861" s="6"/>
      <c r="B861" s="6"/>
      <c r="C861" s="6"/>
      <c r="D861" s="6"/>
      <c r="E861" s="6"/>
      <c r="F861" s="6"/>
      <c r="G861" s="6"/>
    </row>
    <row r="862" customHeight="1" spans="1:7">
      <c r="A862" s="6"/>
      <c r="B862" s="6"/>
      <c r="C862" s="6"/>
      <c r="D862" s="6"/>
      <c r="E862" s="6"/>
      <c r="F862" s="6"/>
      <c r="G862" s="6"/>
    </row>
    <row r="863" customHeight="1" spans="1:7">
      <c r="A863" s="6"/>
      <c r="B863" s="6"/>
      <c r="C863" s="6"/>
      <c r="D863" s="6"/>
      <c r="E863" s="6"/>
      <c r="F863" s="6"/>
      <c r="G863" s="6"/>
    </row>
    <row r="864" customHeight="1" spans="1:7">
      <c r="A864" s="6"/>
      <c r="B864" s="6"/>
      <c r="C864" s="6"/>
      <c r="D864" s="6"/>
      <c r="E864" s="6"/>
      <c r="F864" s="6"/>
      <c r="G864" s="6"/>
    </row>
    <row r="865" customHeight="1" spans="1:7">
      <c r="A865" s="6"/>
      <c r="B865" s="6"/>
      <c r="C865" s="6"/>
      <c r="D865" s="6"/>
      <c r="E865" s="6"/>
      <c r="F865" s="6"/>
      <c r="G865" s="6"/>
    </row>
    <row r="866" customHeight="1" spans="1:7">
      <c r="A866" s="6"/>
      <c r="B866" s="6"/>
      <c r="C866" s="6"/>
      <c r="D866" s="6"/>
      <c r="E866" s="6"/>
      <c r="F866" s="6"/>
      <c r="G866" s="6"/>
    </row>
    <row r="867" customHeight="1" spans="1:7">
      <c r="A867" s="6"/>
      <c r="B867" s="6"/>
      <c r="C867" s="6"/>
      <c r="D867" s="6"/>
      <c r="E867" s="6"/>
      <c r="F867" s="6"/>
      <c r="G867" s="6"/>
    </row>
    <row r="868" customHeight="1" spans="1:7">
      <c r="A868" s="6"/>
      <c r="B868" s="6"/>
      <c r="C868" s="6"/>
      <c r="D868" s="6"/>
      <c r="E868" s="6"/>
      <c r="F868" s="6"/>
      <c r="G868" s="6"/>
    </row>
    <row r="869" customHeight="1" spans="1:7">
      <c r="A869" s="6"/>
      <c r="B869" s="6"/>
      <c r="C869" s="6"/>
      <c r="D869" s="6"/>
      <c r="E869" s="6"/>
      <c r="F869" s="6"/>
      <c r="G869" s="6"/>
    </row>
    <row r="870" customHeight="1" spans="1:7">
      <c r="A870" s="6"/>
      <c r="B870" s="6"/>
      <c r="C870" s="6"/>
      <c r="D870" s="6"/>
      <c r="E870" s="6"/>
      <c r="F870" s="6"/>
      <c r="G870" s="6"/>
    </row>
    <row r="871" customHeight="1" spans="1:7">
      <c r="A871" s="6"/>
      <c r="B871" s="6"/>
      <c r="C871" s="6"/>
      <c r="D871" s="6"/>
      <c r="E871" s="6"/>
      <c r="F871" s="6"/>
      <c r="G871" s="6"/>
    </row>
    <row r="872" customHeight="1" spans="1:7">
      <c r="A872" s="6"/>
      <c r="B872" s="6"/>
      <c r="C872" s="6"/>
      <c r="D872" s="6"/>
      <c r="E872" s="6"/>
      <c r="F872" s="6"/>
      <c r="G872" s="6"/>
    </row>
    <row r="873" customHeight="1" spans="1:7">
      <c r="A873" s="6"/>
      <c r="B873" s="6"/>
      <c r="C873" s="6"/>
      <c r="D873" s="6"/>
      <c r="E873" s="6"/>
      <c r="F873" s="6"/>
      <c r="G873" s="6"/>
    </row>
    <row r="874" customHeight="1" spans="1:7">
      <c r="A874" s="6"/>
      <c r="B874" s="6"/>
      <c r="C874" s="6"/>
      <c r="D874" s="6"/>
      <c r="E874" s="6"/>
      <c r="F874" s="6"/>
      <c r="G874" s="6"/>
    </row>
    <row r="875" customHeight="1" spans="1:7">
      <c r="A875" s="6"/>
      <c r="B875" s="6"/>
      <c r="C875" s="6"/>
      <c r="D875" s="6"/>
      <c r="E875" s="6"/>
      <c r="F875" s="6"/>
      <c r="G875" s="6"/>
    </row>
    <row r="876" customHeight="1" spans="1:7">
      <c r="A876" s="6"/>
      <c r="B876" s="6"/>
      <c r="C876" s="6"/>
      <c r="D876" s="6"/>
      <c r="E876" s="6"/>
      <c r="F876" s="6"/>
      <c r="G876" s="6"/>
    </row>
    <row r="877" customHeight="1" spans="1:7">
      <c r="A877" s="6"/>
      <c r="B877" s="6"/>
      <c r="C877" s="6"/>
      <c r="D877" s="6"/>
      <c r="E877" s="6"/>
      <c r="F877" s="6"/>
      <c r="G877" s="6"/>
    </row>
    <row r="878" customHeight="1" spans="1:7">
      <c r="A878" s="6"/>
      <c r="B878" s="6"/>
      <c r="C878" s="6"/>
      <c r="D878" s="6"/>
      <c r="E878" s="6"/>
      <c r="F878" s="6"/>
      <c r="G878" s="6"/>
    </row>
    <row r="879" customHeight="1" spans="1:7">
      <c r="A879" s="6"/>
      <c r="B879" s="6"/>
      <c r="C879" s="6"/>
      <c r="D879" s="6"/>
      <c r="E879" s="6"/>
      <c r="F879" s="6"/>
      <c r="G879" s="6"/>
    </row>
    <row r="880" customHeight="1" spans="1:7">
      <c r="A880" s="6"/>
      <c r="B880" s="6"/>
      <c r="C880" s="6"/>
      <c r="D880" s="6"/>
      <c r="E880" s="6"/>
      <c r="F880" s="6"/>
      <c r="G880" s="6"/>
    </row>
    <row r="881" customHeight="1" spans="1:7">
      <c r="A881" s="6"/>
      <c r="B881" s="6"/>
      <c r="C881" s="6"/>
      <c r="D881" s="6"/>
      <c r="E881" s="6"/>
      <c r="F881" s="6"/>
      <c r="G881" s="6"/>
    </row>
    <row r="882" customHeight="1" spans="1:7">
      <c r="A882" s="6"/>
      <c r="B882" s="6"/>
      <c r="C882" s="6"/>
      <c r="D882" s="6"/>
      <c r="E882" s="6"/>
      <c r="F882" s="6"/>
      <c r="G882" s="6"/>
    </row>
    <row r="883" customHeight="1" spans="1:7">
      <c r="A883" s="6"/>
      <c r="B883" s="6"/>
      <c r="C883" s="6"/>
      <c r="D883" s="6"/>
      <c r="E883" s="6"/>
      <c r="F883" s="6"/>
      <c r="G883" s="6"/>
    </row>
    <row r="884" customHeight="1" spans="1:7">
      <c r="A884" s="6"/>
      <c r="B884" s="6"/>
      <c r="C884" s="6"/>
      <c r="D884" s="6"/>
      <c r="E884" s="6"/>
      <c r="F884" s="6"/>
      <c r="G884" s="6"/>
    </row>
    <row r="885" customHeight="1" spans="1:7">
      <c r="A885" s="6"/>
      <c r="B885" s="6"/>
      <c r="C885" s="6"/>
      <c r="D885" s="6"/>
      <c r="E885" s="6"/>
      <c r="F885" s="6"/>
      <c r="G885" s="6"/>
    </row>
    <row r="886" customHeight="1" spans="1:7">
      <c r="A886" s="6"/>
      <c r="B886" s="6"/>
      <c r="C886" s="6"/>
      <c r="D886" s="6"/>
      <c r="E886" s="6"/>
      <c r="F886" s="6"/>
      <c r="G886" s="6"/>
    </row>
    <row r="887" customHeight="1" spans="1:7">
      <c r="A887" s="6"/>
      <c r="B887" s="6"/>
      <c r="C887" s="6"/>
      <c r="D887" s="6"/>
      <c r="E887" s="6"/>
      <c r="F887" s="6"/>
      <c r="G887" s="6"/>
    </row>
    <row r="888" customHeight="1" spans="1:7">
      <c r="A888" s="6"/>
      <c r="B888" s="6"/>
      <c r="C888" s="6"/>
      <c r="D888" s="6"/>
      <c r="E888" s="6"/>
      <c r="F888" s="6"/>
      <c r="G888" s="6"/>
    </row>
    <row r="889" customHeight="1" spans="1:7">
      <c r="A889" s="6"/>
      <c r="B889" s="6"/>
      <c r="C889" s="6"/>
      <c r="D889" s="6"/>
      <c r="E889" s="6"/>
      <c r="F889" s="6"/>
      <c r="G889" s="6"/>
    </row>
    <row r="890" customHeight="1" spans="1:7">
      <c r="A890" s="6"/>
      <c r="B890" s="6"/>
      <c r="C890" s="6"/>
      <c r="D890" s="6"/>
      <c r="E890" s="6"/>
      <c r="F890" s="6"/>
      <c r="G890" s="6"/>
    </row>
    <row r="891" customHeight="1" spans="1:7">
      <c r="A891" s="6"/>
      <c r="B891" s="6"/>
      <c r="C891" s="6"/>
      <c r="D891" s="6"/>
      <c r="E891" s="6"/>
      <c r="F891" s="6"/>
      <c r="G891" s="6"/>
    </row>
    <row r="892" customHeight="1" spans="1:7">
      <c r="A892" s="6"/>
      <c r="B892" s="6"/>
      <c r="C892" s="6"/>
      <c r="D892" s="6"/>
      <c r="E892" s="6"/>
      <c r="F892" s="6"/>
      <c r="G892" s="6"/>
    </row>
    <row r="893" customHeight="1" spans="1:7">
      <c r="A893" s="6"/>
      <c r="B893" s="6"/>
      <c r="C893" s="6"/>
      <c r="D893" s="6"/>
      <c r="E893" s="6"/>
      <c r="F893" s="6"/>
      <c r="G893" s="6"/>
    </row>
    <row r="894" customHeight="1" spans="1:7">
      <c r="A894" s="6"/>
      <c r="B894" s="6"/>
      <c r="C894" s="6"/>
      <c r="D894" s="6"/>
      <c r="E894" s="6"/>
      <c r="F894" s="6"/>
      <c r="G894" s="6"/>
    </row>
    <row r="895" customHeight="1" spans="1:7">
      <c r="A895" s="6"/>
      <c r="B895" s="6"/>
      <c r="C895" s="6"/>
      <c r="D895" s="6"/>
      <c r="E895" s="6"/>
      <c r="F895" s="6"/>
      <c r="G895" s="6"/>
    </row>
    <row r="896" customHeight="1" spans="1:7">
      <c r="A896" s="6"/>
      <c r="B896" s="6"/>
      <c r="C896" s="6"/>
      <c r="D896" s="6"/>
      <c r="E896" s="6"/>
      <c r="F896" s="6"/>
      <c r="G896" s="6"/>
    </row>
    <row r="897" customHeight="1" spans="1:7">
      <c r="A897" s="6"/>
      <c r="B897" s="6"/>
      <c r="C897" s="6"/>
      <c r="D897" s="6"/>
      <c r="E897" s="6"/>
      <c r="F897" s="6"/>
      <c r="G897" s="6"/>
    </row>
    <row r="898" customHeight="1" spans="1:7">
      <c r="A898" s="6"/>
      <c r="B898" s="6"/>
      <c r="C898" s="6"/>
      <c r="D898" s="6"/>
      <c r="E898" s="6"/>
      <c r="F898" s="6"/>
      <c r="G898" s="6"/>
    </row>
    <row r="899" customHeight="1" spans="1:7">
      <c r="A899" s="6"/>
      <c r="B899" s="6"/>
      <c r="C899" s="6"/>
      <c r="D899" s="6"/>
      <c r="E899" s="6"/>
      <c r="F899" s="6"/>
      <c r="G899" s="6"/>
    </row>
    <row r="900" customHeight="1" spans="1:7">
      <c r="A900" s="6"/>
      <c r="B900" s="6"/>
      <c r="C900" s="6"/>
      <c r="D900" s="6"/>
      <c r="E900" s="6"/>
      <c r="F900" s="6"/>
      <c r="G900" s="6"/>
    </row>
    <row r="901" customHeight="1" spans="1:7">
      <c r="A901" s="6"/>
      <c r="B901" s="6"/>
      <c r="C901" s="6"/>
      <c r="D901" s="6"/>
      <c r="E901" s="6"/>
      <c r="F901" s="6"/>
      <c r="G901" s="6"/>
    </row>
    <row r="902" customHeight="1" spans="1:7">
      <c r="A902" s="6"/>
      <c r="B902" s="6"/>
      <c r="C902" s="6"/>
      <c r="D902" s="6"/>
      <c r="E902" s="6"/>
      <c r="F902" s="6"/>
      <c r="G902" s="6"/>
    </row>
    <row r="903" customHeight="1" spans="1:7">
      <c r="A903" s="6"/>
      <c r="B903" s="6"/>
      <c r="C903" s="6"/>
      <c r="D903" s="6"/>
      <c r="E903" s="6"/>
      <c r="F903" s="6"/>
      <c r="G903" s="6"/>
    </row>
    <row r="904" customHeight="1" spans="1:7">
      <c r="A904" s="6"/>
      <c r="B904" s="6"/>
      <c r="C904" s="6"/>
      <c r="D904" s="6"/>
      <c r="E904" s="6"/>
      <c r="F904" s="6"/>
      <c r="G904" s="6"/>
    </row>
    <row r="905" customHeight="1" spans="1:7">
      <c r="A905" s="6"/>
      <c r="B905" s="6"/>
      <c r="C905" s="6"/>
      <c r="D905" s="6"/>
      <c r="E905" s="6"/>
      <c r="F905" s="6"/>
      <c r="G905" s="6"/>
    </row>
    <row r="906" customHeight="1" spans="1:7">
      <c r="A906" s="6"/>
      <c r="B906" s="6"/>
      <c r="C906" s="6"/>
      <c r="D906" s="6"/>
      <c r="E906" s="6"/>
      <c r="F906" s="6"/>
      <c r="G906" s="6"/>
    </row>
    <row r="907" customHeight="1" spans="1:7">
      <c r="A907" s="6"/>
      <c r="B907" s="6"/>
      <c r="C907" s="6"/>
      <c r="D907" s="6"/>
      <c r="E907" s="6"/>
      <c r="F907" s="6"/>
      <c r="G907" s="6"/>
    </row>
    <row r="908" customHeight="1" spans="1:7">
      <c r="A908" s="6"/>
      <c r="B908" s="6"/>
      <c r="C908" s="6"/>
      <c r="D908" s="6"/>
      <c r="E908" s="6"/>
      <c r="F908" s="6"/>
      <c r="G908" s="6"/>
    </row>
    <row r="909" customHeight="1" spans="1:7">
      <c r="A909" s="6"/>
      <c r="B909" s="6"/>
      <c r="C909" s="6"/>
      <c r="D909" s="6"/>
      <c r="E909" s="6"/>
      <c r="F909" s="6"/>
      <c r="G909" s="6"/>
    </row>
    <row r="910" customHeight="1" spans="1:7">
      <c r="A910" s="6"/>
      <c r="B910" s="6"/>
      <c r="C910" s="6"/>
      <c r="D910" s="6"/>
      <c r="E910" s="6"/>
      <c r="F910" s="6"/>
      <c r="G910" s="6"/>
    </row>
    <row r="911" customHeight="1" spans="1:7">
      <c r="A911" s="6"/>
      <c r="B911" s="6"/>
      <c r="C911" s="6"/>
      <c r="D911" s="6"/>
      <c r="E911" s="6"/>
      <c r="F911" s="6"/>
      <c r="G911" s="6"/>
    </row>
    <row r="912" customHeight="1" spans="1:7">
      <c r="A912" s="6"/>
      <c r="B912" s="6"/>
      <c r="C912" s="6"/>
      <c r="D912" s="6"/>
      <c r="E912" s="6"/>
      <c r="F912" s="6"/>
      <c r="G912" s="6"/>
    </row>
    <row r="913" customHeight="1" spans="1:7">
      <c r="A913" s="6"/>
      <c r="B913" s="6"/>
      <c r="C913" s="6"/>
      <c r="D913" s="6"/>
      <c r="E913" s="6"/>
      <c r="F913" s="6"/>
      <c r="G913" s="6"/>
    </row>
    <row r="914" customHeight="1" spans="1:7">
      <c r="A914" s="6"/>
      <c r="B914" s="6"/>
      <c r="C914" s="6"/>
      <c r="D914" s="6"/>
      <c r="E914" s="6"/>
      <c r="F914" s="6"/>
      <c r="G914" s="6"/>
    </row>
    <row r="915" customHeight="1" spans="1:7">
      <c r="A915" s="6"/>
      <c r="B915" s="6"/>
      <c r="C915" s="6"/>
      <c r="D915" s="6"/>
      <c r="E915" s="6"/>
      <c r="F915" s="6"/>
      <c r="G915" s="6"/>
    </row>
    <row r="916" customHeight="1" spans="1:7">
      <c r="A916" s="6"/>
      <c r="B916" s="6"/>
      <c r="C916" s="6"/>
      <c r="D916" s="6"/>
      <c r="E916" s="6"/>
      <c r="F916" s="6"/>
      <c r="G916" s="6"/>
    </row>
    <row r="917" customHeight="1" spans="1:7">
      <c r="A917" s="6"/>
      <c r="B917" s="6"/>
      <c r="C917" s="6"/>
      <c r="D917" s="6"/>
      <c r="E917" s="6"/>
      <c r="F917" s="6"/>
      <c r="G917" s="6"/>
    </row>
    <row r="918" customHeight="1" spans="1:7">
      <c r="A918" s="6"/>
      <c r="B918" s="6"/>
      <c r="C918" s="6"/>
      <c r="D918" s="6"/>
      <c r="E918" s="6"/>
      <c r="F918" s="6"/>
      <c r="G918" s="6"/>
    </row>
    <row r="919" customHeight="1" spans="1:7">
      <c r="A919" s="6"/>
      <c r="B919" s="6"/>
      <c r="C919" s="6"/>
      <c r="D919" s="6"/>
      <c r="E919" s="6"/>
      <c r="F919" s="6"/>
      <c r="G919" s="6"/>
    </row>
    <row r="920" customHeight="1" spans="1:7">
      <c r="A920" s="6"/>
      <c r="B920" s="6"/>
      <c r="C920" s="6"/>
      <c r="D920" s="6"/>
      <c r="E920" s="6"/>
      <c r="F920" s="6"/>
      <c r="G920" s="6"/>
    </row>
    <row r="921" customHeight="1" spans="1:7">
      <c r="A921" s="6"/>
      <c r="B921" s="6"/>
      <c r="C921" s="6"/>
      <c r="D921" s="6"/>
      <c r="E921" s="6"/>
      <c r="F921" s="6"/>
      <c r="G921" s="6"/>
    </row>
    <row r="922" customHeight="1" spans="1:7">
      <c r="A922" s="6"/>
      <c r="B922" s="6"/>
      <c r="C922" s="6"/>
      <c r="D922" s="6"/>
      <c r="E922" s="6"/>
      <c r="F922" s="6"/>
      <c r="G922" s="6"/>
    </row>
    <row r="923" customHeight="1" spans="1:7">
      <c r="A923" s="6"/>
      <c r="B923" s="6"/>
      <c r="C923" s="6"/>
      <c r="D923" s="6"/>
      <c r="E923" s="6"/>
      <c r="F923" s="6"/>
      <c r="G923" s="6"/>
    </row>
    <row r="924" customHeight="1" spans="1:7">
      <c r="A924" s="6"/>
      <c r="B924" s="6"/>
      <c r="C924" s="6"/>
      <c r="D924" s="6"/>
      <c r="E924" s="6"/>
      <c r="F924" s="6"/>
      <c r="G924" s="6"/>
    </row>
    <row r="925" customHeight="1" spans="1:7">
      <c r="A925" s="6"/>
      <c r="B925" s="6"/>
      <c r="C925" s="6"/>
      <c r="D925" s="6"/>
      <c r="E925" s="6"/>
      <c r="F925" s="6"/>
      <c r="G925" s="6"/>
    </row>
    <row r="926" customHeight="1" spans="1:7">
      <c r="A926" s="6"/>
      <c r="B926" s="6"/>
      <c r="C926" s="6"/>
      <c r="D926" s="6"/>
      <c r="E926" s="6"/>
      <c r="F926" s="6"/>
      <c r="G926" s="6"/>
    </row>
    <row r="927" customHeight="1" spans="1:7">
      <c r="A927" s="6"/>
      <c r="B927" s="6"/>
      <c r="C927" s="6"/>
      <c r="D927" s="6"/>
      <c r="E927" s="6"/>
      <c r="F927" s="6"/>
      <c r="G927" s="6"/>
    </row>
    <row r="928" customHeight="1" spans="1:7">
      <c r="A928" s="6"/>
      <c r="B928" s="6"/>
      <c r="C928" s="6"/>
      <c r="D928" s="6"/>
      <c r="E928" s="6"/>
      <c r="F928" s="6"/>
      <c r="G928" s="6"/>
    </row>
    <row r="929" customHeight="1" spans="1:7">
      <c r="A929" s="6"/>
      <c r="B929" s="6"/>
      <c r="C929" s="6"/>
      <c r="D929" s="6"/>
      <c r="E929" s="6"/>
      <c r="F929" s="6"/>
      <c r="G929" s="6"/>
    </row>
    <row r="930" customHeight="1" spans="1:7">
      <c r="A930" s="6"/>
      <c r="B930" s="6"/>
      <c r="C930" s="6"/>
      <c r="D930" s="6"/>
      <c r="E930" s="6"/>
      <c r="F930" s="6"/>
      <c r="G930" s="6"/>
    </row>
    <row r="931" customHeight="1" spans="1:7">
      <c r="A931" s="6"/>
      <c r="B931" s="6"/>
      <c r="C931" s="6"/>
      <c r="D931" s="6"/>
      <c r="E931" s="6"/>
      <c r="F931" s="6"/>
      <c r="G931" s="6"/>
    </row>
    <row r="932" customHeight="1" spans="1:7">
      <c r="A932" s="6"/>
      <c r="B932" s="6"/>
      <c r="C932" s="6"/>
      <c r="D932" s="6"/>
      <c r="E932" s="6"/>
      <c r="F932" s="6"/>
      <c r="G932" s="6"/>
    </row>
    <row r="933" customHeight="1" spans="1:7">
      <c r="A933" s="6"/>
      <c r="B933" s="6"/>
      <c r="C933" s="6"/>
      <c r="D933" s="6"/>
      <c r="E933" s="6"/>
      <c r="F933" s="6"/>
      <c r="G933" s="6"/>
    </row>
    <row r="934" customHeight="1" spans="1:7">
      <c r="A934" s="6"/>
      <c r="B934" s="6"/>
      <c r="C934" s="6"/>
      <c r="D934" s="6"/>
      <c r="E934" s="6"/>
      <c r="F934" s="6"/>
      <c r="G934" s="6"/>
    </row>
    <row r="935" customHeight="1" spans="1:7">
      <c r="A935" s="6"/>
      <c r="B935" s="6"/>
      <c r="C935" s="6"/>
      <c r="D935" s="6"/>
      <c r="E935" s="6"/>
      <c r="F935" s="6"/>
      <c r="G935" s="6"/>
    </row>
    <row r="936" customHeight="1" spans="1:7">
      <c r="A936" s="6"/>
      <c r="B936" s="6"/>
      <c r="C936" s="6"/>
      <c r="D936" s="6"/>
      <c r="E936" s="6"/>
      <c r="F936" s="6"/>
      <c r="G936" s="6"/>
    </row>
    <row r="937" customHeight="1" spans="1:7">
      <c r="A937" s="6"/>
      <c r="B937" s="6"/>
      <c r="C937" s="6"/>
      <c r="D937" s="6"/>
      <c r="E937" s="6"/>
      <c r="F937" s="6"/>
      <c r="G937" s="6"/>
    </row>
    <row r="938" customHeight="1" spans="1:7">
      <c r="A938" s="6"/>
      <c r="B938" s="6"/>
      <c r="C938" s="6"/>
      <c r="D938" s="6"/>
      <c r="E938" s="6"/>
      <c r="F938" s="6"/>
      <c r="G938" s="6"/>
    </row>
    <row r="939" customHeight="1" spans="1:7">
      <c r="A939" s="6"/>
      <c r="B939" s="6"/>
      <c r="C939" s="6"/>
      <c r="D939" s="6"/>
      <c r="E939" s="6"/>
      <c r="F939" s="6"/>
      <c r="G939" s="6"/>
    </row>
    <row r="940" customHeight="1" spans="1:7">
      <c r="A940" s="6"/>
      <c r="B940" s="6"/>
      <c r="C940" s="6"/>
      <c r="D940" s="6"/>
      <c r="E940" s="6"/>
      <c r="F940" s="6"/>
      <c r="G940" s="6"/>
    </row>
    <row r="941" customHeight="1" spans="1:7">
      <c r="A941" s="6"/>
      <c r="B941" s="6"/>
      <c r="C941" s="6"/>
      <c r="D941" s="6"/>
      <c r="E941" s="6"/>
      <c r="F941" s="6"/>
      <c r="G941" s="6"/>
    </row>
    <row r="942" customHeight="1" spans="1:7">
      <c r="A942" s="6"/>
      <c r="B942" s="6"/>
      <c r="C942" s="6"/>
      <c r="D942" s="6"/>
      <c r="E942" s="6"/>
      <c r="F942" s="6"/>
      <c r="G942" s="6"/>
    </row>
    <row r="943" customHeight="1" spans="1:7">
      <c r="A943" s="6"/>
      <c r="B943" s="6"/>
      <c r="C943" s="6"/>
      <c r="D943" s="6"/>
      <c r="E943" s="6"/>
      <c r="F943" s="6"/>
      <c r="G943" s="6"/>
    </row>
    <row r="944" customHeight="1" spans="1:7">
      <c r="A944" s="6"/>
      <c r="B944" s="6"/>
      <c r="C944" s="6"/>
      <c r="D944" s="6"/>
      <c r="E944" s="6"/>
      <c r="F944" s="6"/>
      <c r="G944" s="6"/>
    </row>
    <row r="945" customHeight="1" spans="1:7">
      <c r="A945" s="6"/>
      <c r="B945" s="6"/>
      <c r="C945" s="6"/>
      <c r="D945" s="6"/>
      <c r="E945" s="6"/>
      <c r="F945" s="6"/>
      <c r="G945" s="6"/>
    </row>
    <row r="946" customHeight="1" spans="1:7">
      <c r="A946" s="6"/>
      <c r="B946" s="6"/>
      <c r="C946" s="6"/>
      <c r="D946" s="6"/>
      <c r="E946" s="6"/>
      <c r="F946" s="6"/>
      <c r="G946" s="6"/>
    </row>
    <row r="947" customHeight="1" spans="1:7">
      <c r="A947" s="6"/>
      <c r="B947" s="6"/>
      <c r="C947" s="6"/>
      <c r="D947" s="6"/>
      <c r="E947" s="6"/>
      <c r="F947" s="6"/>
      <c r="G947" s="6"/>
    </row>
    <row r="948" customHeight="1" spans="1:7">
      <c r="A948" s="6"/>
      <c r="B948" s="6"/>
      <c r="C948" s="6"/>
      <c r="D948" s="6"/>
      <c r="E948" s="6"/>
      <c r="F948" s="6"/>
      <c r="G948" s="6"/>
    </row>
    <row r="949" customHeight="1" spans="1:7">
      <c r="A949" s="6"/>
      <c r="B949" s="6"/>
      <c r="C949" s="6"/>
      <c r="D949" s="6"/>
      <c r="E949" s="6"/>
      <c r="F949" s="6"/>
      <c r="G949" s="6"/>
    </row>
    <row r="950" customHeight="1" spans="1:7">
      <c r="A950" s="6"/>
      <c r="B950" s="6"/>
      <c r="C950" s="6"/>
      <c r="D950" s="6"/>
      <c r="E950" s="6"/>
      <c r="F950" s="6"/>
      <c r="G950" s="6"/>
    </row>
    <row r="951" customHeight="1" spans="1:7">
      <c r="A951" s="6"/>
      <c r="B951" s="6"/>
      <c r="C951" s="6"/>
      <c r="D951" s="6"/>
      <c r="E951" s="6"/>
      <c r="F951" s="6"/>
      <c r="G951" s="6"/>
    </row>
    <row r="952" customHeight="1" spans="1:7">
      <c r="A952" s="6"/>
      <c r="B952" s="6"/>
      <c r="C952" s="6"/>
      <c r="D952" s="6"/>
      <c r="E952" s="6"/>
      <c r="F952" s="6"/>
      <c r="G952" s="6"/>
    </row>
    <row r="953" customHeight="1" spans="1:7">
      <c r="A953" s="6"/>
      <c r="B953" s="6"/>
      <c r="C953" s="6"/>
      <c r="D953" s="6"/>
      <c r="E953" s="6"/>
      <c r="F953" s="6"/>
      <c r="G953" s="6"/>
    </row>
    <row r="954" customHeight="1" spans="1:7">
      <c r="A954" s="6"/>
      <c r="B954" s="6"/>
      <c r="C954" s="6"/>
      <c r="D954" s="6"/>
      <c r="E954" s="6"/>
      <c r="F954" s="6"/>
      <c r="G954" s="6"/>
    </row>
    <row r="955" customHeight="1" spans="1:7">
      <c r="A955" s="6"/>
      <c r="B955" s="6"/>
      <c r="C955" s="6"/>
      <c r="D955" s="6"/>
      <c r="E955" s="6"/>
      <c r="F955" s="6"/>
      <c r="G955" s="6"/>
    </row>
    <row r="956" customHeight="1" spans="1:7">
      <c r="A956" s="6"/>
      <c r="B956" s="6"/>
      <c r="C956" s="6"/>
      <c r="D956" s="6"/>
      <c r="E956" s="6"/>
      <c r="F956" s="6"/>
      <c r="G956" s="6"/>
    </row>
    <row r="957" customHeight="1" spans="1:7">
      <c r="A957" s="6"/>
      <c r="B957" s="6"/>
      <c r="C957" s="6"/>
      <c r="D957" s="6"/>
      <c r="E957" s="6"/>
      <c r="F957" s="6"/>
      <c r="G957" s="6"/>
    </row>
    <row r="958" customHeight="1" spans="1:7">
      <c r="A958" s="6"/>
      <c r="B958" s="6"/>
      <c r="C958" s="6"/>
      <c r="D958" s="6"/>
      <c r="E958" s="6"/>
      <c r="F958" s="6"/>
      <c r="G958" s="6"/>
    </row>
    <row r="959" customHeight="1" spans="1:7">
      <c r="A959" s="6"/>
      <c r="B959" s="6"/>
      <c r="C959" s="6"/>
      <c r="D959" s="6"/>
      <c r="E959" s="6"/>
      <c r="F959" s="6"/>
      <c r="G959" s="6"/>
    </row>
    <row r="960" customHeight="1" spans="1:7">
      <c r="A960" s="6"/>
      <c r="B960" s="6"/>
      <c r="C960" s="6"/>
      <c r="D960" s="6"/>
      <c r="E960" s="6"/>
      <c r="F960" s="6"/>
      <c r="G960" s="6"/>
    </row>
    <row r="961" customHeight="1" spans="1:7">
      <c r="A961" s="6"/>
      <c r="B961" s="6"/>
      <c r="C961" s="6"/>
      <c r="D961" s="6"/>
      <c r="E961" s="6"/>
      <c r="F961" s="6"/>
      <c r="G961" s="6"/>
    </row>
    <row r="962" customHeight="1" spans="1:7">
      <c r="A962" s="6"/>
      <c r="B962" s="6"/>
      <c r="C962" s="6"/>
      <c r="D962" s="6"/>
      <c r="E962" s="6"/>
      <c r="F962" s="6"/>
      <c r="G962" s="6"/>
    </row>
    <row r="963" customHeight="1" spans="1:7">
      <c r="A963" s="6"/>
      <c r="B963" s="6"/>
      <c r="C963" s="6"/>
      <c r="D963" s="6"/>
      <c r="E963" s="6"/>
      <c r="F963" s="6"/>
      <c r="G963" s="6"/>
    </row>
    <row r="964" customHeight="1" spans="1:7">
      <c r="A964" s="6"/>
      <c r="B964" s="6"/>
      <c r="C964" s="6"/>
      <c r="D964" s="6"/>
      <c r="E964" s="6"/>
      <c r="F964" s="6"/>
      <c r="G964" s="6"/>
    </row>
    <row r="965" customHeight="1" spans="1:7">
      <c r="A965" s="6"/>
      <c r="B965" s="6"/>
      <c r="C965" s="6"/>
      <c r="D965" s="6"/>
      <c r="E965" s="6"/>
      <c r="F965" s="6"/>
      <c r="G965" s="6"/>
    </row>
    <row r="966" customHeight="1" spans="1:7">
      <c r="A966" s="6"/>
      <c r="B966" s="6"/>
      <c r="C966" s="6"/>
      <c r="D966" s="6"/>
      <c r="E966" s="6"/>
      <c r="F966" s="6"/>
      <c r="G966" s="6"/>
    </row>
    <row r="967" customHeight="1" spans="1:7">
      <c r="A967" s="6"/>
      <c r="B967" s="6"/>
      <c r="C967" s="6"/>
      <c r="D967" s="6"/>
      <c r="E967" s="6"/>
      <c r="F967" s="6"/>
      <c r="G967" s="6"/>
    </row>
    <row r="968" customHeight="1" spans="1:7">
      <c r="A968" s="6"/>
      <c r="B968" s="6"/>
      <c r="C968" s="6"/>
      <c r="D968" s="6"/>
      <c r="E968" s="6"/>
      <c r="F968" s="6"/>
      <c r="G968" s="6"/>
    </row>
    <row r="969" customHeight="1" spans="1:7">
      <c r="A969" s="6"/>
      <c r="B969" s="6"/>
      <c r="C969" s="6"/>
      <c r="D969" s="6"/>
      <c r="E969" s="6"/>
      <c r="F969" s="6"/>
      <c r="G969" s="6"/>
    </row>
    <row r="970" customHeight="1" spans="1:7">
      <c r="A970" s="6"/>
      <c r="B970" s="6"/>
      <c r="C970" s="6"/>
      <c r="D970" s="6"/>
      <c r="E970" s="6"/>
      <c r="F970" s="6"/>
      <c r="G970" s="6"/>
    </row>
    <row r="971" customHeight="1" spans="1:7">
      <c r="A971" s="6"/>
      <c r="B971" s="6"/>
      <c r="C971" s="6"/>
      <c r="D971" s="6"/>
      <c r="E971" s="6"/>
      <c r="F971" s="6"/>
      <c r="G971" s="6"/>
    </row>
    <row r="972" customHeight="1" spans="1:7">
      <c r="A972" s="6"/>
      <c r="B972" s="6"/>
      <c r="C972" s="6"/>
      <c r="D972" s="6"/>
      <c r="E972" s="6"/>
      <c r="F972" s="6"/>
      <c r="G972" s="6"/>
    </row>
    <row r="973" customHeight="1" spans="1:7">
      <c r="A973" s="6"/>
      <c r="B973" s="6"/>
      <c r="C973" s="6"/>
      <c r="D973" s="6"/>
      <c r="E973" s="6"/>
      <c r="F973" s="6"/>
      <c r="G973" s="6"/>
    </row>
    <row r="974" customHeight="1" spans="1:7">
      <c r="A974" s="6"/>
      <c r="B974" s="6"/>
      <c r="C974" s="6"/>
      <c r="D974" s="6"/>
      <c r="E974" s="6"/>
      <c r="F974" s="6"/>
      <c r="G974" s="6"/>
    </row>
    <row r="975" customHeight="1" spans="1:7">
      <c r="A975" s="6"/>
      <c r="B975" s="6"/>
      <c r="C975" s="6"/>
      <c r="D975" s="6"/>
      <c r="E975" s="6"/>
      <c r="F975" s="6"/>
      <c r="G975" s="6"/>
    </row>
    <row r="976" customHeight="1" spans="1:7">
      <c r="A976" s="6"/>
      <c r="B976" s="6"/>
      <c r="C976" s="6"/>
      <c r="D976" s="6"/>
      <c r="E976" s="6"/>
      <c r="F976" s="6"/>
      <c r="G976" s="6"/>
    </row>
    <row r="977" customHeight="1" spans="1:7">
      <c r="A977" s="6"/>
      <c r="B977" s="6"/>
      <c r="C977" s="6"/>
      <c r="D977" s="6"/>
      <c r="E977" s="6"/>
      <c r="F977" s="6"/>
      <c r="G977" s="6"/>
    </row>
    <row r="978" customHeight="1" spans="1:7">
      <c r="A978" s="6"/>
      <c r="B978" s="6"/>
      <c r="C978" s="6"/>
      <c r="D978" s="6"/>
      <c r="E978" s="6"/>
      <c r="F978" s="6"/>
      <c r="G978" s="6"/>
    </row>
    <row r="979" customHeight="1" spans="1:7">
      <c r="A979" s="6"/>
      <c r="B979" s="6"/>
      <c r="C979" s="6"/>
      <c r="D979" s="6"/>
      <c r="E979" s="6"/>
      <c r="F979" s="6"/>
      <c r="G979" s="6"/>
    </row>
    <row r="980" customHeight="1" spans="1:7">
      <c r="A980" s="6"/>
      <c r="B980" s="6"/>
      <c r="C980" s="6"/>
      <c r="D980" s="6"/>
      <c r="E980" s="6"/>
      <c r="F980" s="6"/>
      <c r="G980" s="6"/>
    </row>
    <row r="981" customHeight="1" spans="1:7">
      <c r="A981" s="6"/>
      <c r="B981" s="6"/>
      <c r="C981" s="6"/>
      <c r="D981" s="6"/>
      <c r="E981" s="6"/>
      <c r="F981" s="6"/>
      <c r="G981" s="6"/>
    </row>
    <row r="982" customHeight="1" spans="1:7">
      <c r="A982" s="6"/>
      <c r="B982" s="6"/>
      <c r="C982" s="6"/>
      <c r="D982" s="6"/>
      <c r="E982" s="6"/>
      <c r="F982" s="6"/>
      <c r="G982" s="6"/>
    </row>
    <row r="983" customHeight="1" spans="1:7">
      <c r="A983" s="6"/>
      <c r="B983" s="6"/>
      <c r="C983" s="6"/>
      <c r="D983" s="6"/>
      <c r="E983" s="6"/>
      <c r="F983" s="6"/>
      <c r="G983" s="6"/>
    </row>
    <row r="984" customHeight="1" spans="1:7">
      <c r="A984" s="6"/>
      <c r="B984" s="6"/>
      <c r="C984" s="6"/>
      <c r="D984" s="6"/>
      <c r="E984" s="6"/>
      <c r="F984" s="6"/>
      <c r="G984" s="6"/>
    </row>
    <row r="985" customHeight="1" spans="1:7">
      <c r="A985" s="6"/>
      <c r="B985" s="6"/>
      <c r="C985" s="6"/>
      <c r="D985" s="6"/>
      <c r="E985" s="6"/>
      <c r="F985" s="6"/>
      <c r="G985" s="6"/>
    </row>
    <row r="986" customHeight="1" spans="1:7">
      <c r="A986" s="6"/>
      <c r="B986" s="6"/>
      <c r="C986" s="6"/>
      <c r="D986" s="6"/>
      <c r="E986" s="6"/>
      <c r="F986" s="6"/>
      <c r="G986" s="6"/>
    </row>
    <row r="987" customHeight="1" spans="1:7">
      <c r="A987" s="6"/>
      <c r="B987" s="6"/>
      <c r="C987" s="6"/>
      <c r="D987" s="6"/>
      <c r="E987" s="6"/>
      <c r="F987" s="6"/>
      <c r="G987" s="6"/>
    </row>
    <row r="988" customHeight="1" spans="1:7">
      <c r="A988" s="6"/>
      <c r="B988" s="6"/>
      <c r="C988" s="6"/>
      <c r="D988" s="6"/>
      <c r="E988" s="6"/>
      <c r="F988" s="6"/>
      <c r="G988" s="6"/>
    </row>
    <row r="989" customHeight="1" spans="1:7">
      <c r="A989" s="6"/>
      <c r="B989" s="6"/>
      <c r="C989" s="6"/>
      <c r="D989" s="6"/>
      <c r="E989" s="6"/>
      <c r="F989" s="6"/>
      <c r="G989" s="6"/>
    </row>
    <row r="990" customHeight="1" spans="1:7">
      <c r="A990" s="6"/>
      <c r="B990" s="6"/>
      <c r="C990" s="6"/>
      <c r="D990" s="6"/>
      <c r="E990" s="6"/>
      <c r="F990" s="6"/>
      <c r="G990" s="6"/>
    </row>
    <row r="991" customHeight="1" spans="1:7">
      <c r="A991" s="6"/>
      <c r="B991" s="6"/>
      <c r="C991" s="6"/>
      <c r="D991" s="6"/>
      <c r="E991" s="6"/>
      <c r="F991" s="6"/>
      <c r="G991" s="6"/>
    </row>
    <row r="992" customHeight="1" spans="1:7">
      <c r="A992" s="6"/>
      <c r="B992" s="6"/>
      <c r="C992" s="6"/>
      <c r="D992" s="6"/>
      <c r="E992" s="6"/>
      <c r="F992" s="6"/>
      <c r="G992" s="6"/>
    </row>
    <row r="993" customHeight="1" spans="1:7">
      <c r="A993" s="6"/>
      <c r="B993" s="6"/>
      <c r="C993" s="6"/>
      <c r="D993" s="6"/>
      <c r="E993" s="6"/>
      <c r="F993" s="6"/>
      <c r="G993" s="6"/>
    </row>
    <row r="994" customHeight="1" spans="1:7">
      <c r="A994" s="6"/>
      <c r="B994" s="6"/>
      <c r="C994" s="6"/>
      <c r="D994" s="6"/>
      <c r="E994" s="6"/>
      <c r="F994" s="6"/>
      <c r="G994" s="6"/>
    </row>
    <row r="995" customHeight="1" spans="1:7">
      <c r="A995" s="6"/>
      <c r="B995" s="6"/>
      <c r="C995" s="6"/>
      <c r="D995" s="6"/>
      <c r="E995" s="6"/>
      <c r="F995" s="6"/>
      <c r="G995" s="6"/>
    </row>
    <row r="996" customHeight="1" spans="1:7">
      <c r="A996" s="6"/>
      <c r="B996" s="6"/>
      <c r="C996" s="6"/>
      <c r="D996" s="6"/>
      <c r="E996" s="6"/>
      <c r="F996" s="6"/>
      <c r="G996" s="6"/>
    </row>
    <row r="997" customHeight="1" spans="1:7">
      <c r="A997" s="6"/>
      <c r="B997" s="6"/>
      <c r="C997" s="6"/>
      <c r="D997" s="6"/>
      <c r="E997" s="6"/>
      <c r="F997" s="6"/>
      <c r="G997" s="6"/>
    </row>
    <row r="998" customHeight="1" spans="1:7">
      <c r="A998" s="6"/>
      <c r="B998" s="6"/>
      <c r="C998" s="6"/>
      <c r="D998" s="6"/>
      <c r="E998" s="6"/>
      <c r="F998" s="6"/>
      <c r="G998" s="6"/>
    </row>
    <row r="999" customHeight="1" spans="1:7">
      <c r="A999" s="6"/>
      <c r="B999" s="6"/>
      <c r="C999" s="6"/>
      <c r="D999" s="6"/>
      <c r="E999" s="6"/>
      <c r="F999" s="6"/>
      <c r="G999" s="6"/>
    </row>
    <row r="1000" customHeight="1" spans="1:7">
      <c r="A1000" s="6"/>
      <c r="B1000" s="6"/>
      <c r="C1000" s="6"/>
      <c r="D1000" s="6"/>
      <c r="E1000" s="6"/>
      <c r="F1000" s="6"/>
      <c r="G1000" s="6"/>
    </row>
    <row r="1001" customHeight="1" spans="1:7">
      <c r="A1001" s="6"/>
      <c r="B1001" s="6"/>
      <c r="C1001" s="6"/>
      <c r="D1001" s="6"/>
      <c r="E1001" s="6"/>
      <c r="F1001" s="6"/>
      <c r="G1001" s="6"/>
    </row>
    <row r="1002" customHeight="1" spans="1:7">
      <c r="A1002" s="6"/>
      <c r="B1002" s="6"/>
      <c r="C1002" s="6"/>
      <c r="D1002" s="6"/>
      <c r="E1002" s="6"/>
      <c r="F1002" s="6"/>
      <c r="G1002" s="6"/>
    </row>
    <row r="1003" customHeight="1" spans="1:7">
      <c r="A1003" s="6"/>
      <c r="B1003" s="6"/>
      <c r="C1003" s="6"/>
      <c r="D1003" s="6"/>
      <c r="E1003" s="6"/>
      <c r="F1003" s="6"/>
      <c r="G1003" s="6"/>
    </row>
    <row r="1004" customHeight="1" spans="1:7">
      <c r="A1004" s="6"/>
      <c r="B1004" s="6"/>
      <c r="C1004" s="6"/>
      <c r="D1004" s="6"/>
      <c r="E1004" s="6"/>
      <c r="F1004" s="6"/>
      <c r="G1004" s="6"/>
    </row>
    <row r="1005" customHeight="1" spans="1:7">
      <c r="A1005" s="6"/>
      <c r="B1005" s="6"/>
      <c r="C1005" s="6"/>
      <c r="D1005" s="6"/>
      <c r="E1005" s="6"/>
      <c r="F1005" s="6"/>
      <c r="G1005" s="6"/>
    </row>
    <row r="1006" customHeight="1" spans="1:7">
      <c r="A1006" s="6"/>
      <c r="B1006" s="6"/>
      <c r="C1006" s="6"/>
      <c r="D1006" s="6"/>
      <c r="E1006" s="6"/>
      <c r="F1006" s="6"/>
      <c r="G1006" s="6"/>
    </row>
    <row r="1007" customHeight="1" spans="1:7">
      <c r="A1007" s="6"/>
      <c r="B1007" s="6"/>
      <c r="C1007" s="6"/>
      <c r="D1007" s="6"/>
      <c r="E1007" s="6"/>
      <c r="F1007" s="6"/>
      <c r="G1007" s="6"/>
    </row>
    <row r="1008" customHeight="1" spans="1:7">
      <c r="A1008" s="6"/>
      <c r="B1008" s="6"/>
      <c r="C1008" s="6"/>
      <c r="D1008" s="6"/>
      <c r="E1008" s="6"/>
      <c r="F1008" s="6"/>
      <c r="G1008" s="6"/>
    </row>
    <row r="1009" customHeight="1" spans="1:7">
      <c r="A1009" s="6"/>
      <c r="B1009" s="6"/>
      <c r="C1009" s="6"/>
      <c r="D1009" s="6"/>
      <c r="E1009" s="6"/>
      <c r="F1009" s="6"/>
      <c r="G1009" s="6"/>
    </row>
    <row r="1010" customHeight="1" spans="1:7">
      <c r="A1010" s="6"/>
      <c r="B1010" s="6"/>
      <c r="C1010" s="6"/>
      <c r="D1010" s="6"/>
      <c r="E1010" s="6"/>
      <c r="F1010" s="6"/>
      <c r="G1010" s="6"/>
    </row>
    <row r="1011" customHeight="1" spans="1:7">
      <c r="A1011" s="6"/>
      <c r="B1011" s="6"/>
      <c r="C1011" s="6"/>
      <c r="D1011" s="6"/>
      <c r="E1011" s="6"/>
      <c r="F1011" s="6"/>
      <c r="G1011" s="6"/>
    </row>
    <row r="1012" customHeight="1" spans="1:7">
      <c r="A1012" s="6"/>
      <c r="B1012" s="6"/>
      <c r="C1012" s="6"/>
      <c r="D1012" s="6"/>
      <c r="E1012" s="6"/>
      <c r="F1012" s="6"/>
      <c r="G1012" s="6"/>
    </row>
    <row r="1013" customHeight="1" spans="1:7">
      <c r="A1013" s="6"/>
      <c r="B1013" s="6"/>
      <c r="C1013" s="6"/>
      <c r="D1013" s="6"/>
      <c r="E1013" s="6"/>
      <c r="F1013" s="6"/>
      <c r="G1013" s="6"/>
    </row>
    <row r="1014" customHeight="1" spans="1:7">
      <c r="A1014" s="6"/>
      <c r="B1014" s="6"/>
      <c r="C1014" s="6"/>
      <c r="D1014" s="6"/>
      <c r="E1014" s="6"/>
      <c r="F1014" s="6"/>
      <c r="G1014" s="6"/>
    </row>
    <row r="1015" customHeight="1" spans="1:7">
      <c r="A1015" s="6"/>
      <c r="B1015" s="6"/>
      <c r="C1015" s="6"/>
      <c r="D1015" s="6"/>
      <c r="E1015" s="6"/>
      <c r="F1015" s="6"/>
      <c r="G1015" s="6"/>
    </row>
    <row r="1016" customHeight="1" spans="1:7">
      <c r="A1016" s="6"/>
      <c r="B1016" s="6"/>
      <c r="C1016" s="6"/>
      <c r="D1016" s="6"/>
      <c r="E1016" s="6"/>
      <c r="F1016" s="6"/>
      <c r="G1016" s="6"/>
    </row>
    <row r="1017" customHeight="1" spans="1:7">
      <c r="A1017" s="6"/>
      <c r="B1017" s="6"/>
      <c r="C1017" s="6"/>
      <c r="D1017" s="6"/>
      <c r="E1017" s="6"/>
      <c r="F1017" s="6"/>
      <c r="G1017" s="6"/>
    </row>
    <row r="1018" customHeight="1" spans="1:7">
      <c r="A1018" s="6"/>
      <c r="B1018" s="6"/>
      <c r="C1018" s="6"/>
      <c r="D1018" s="6"/>
      <c r="E1018" s="6"/>
      <c r="F1018" s="6"/>
      <c r="G1018" s="6"/>
    </row>
    <row r="1019" customHeight="1" spans="1:7">
      <c r="A1019" s="6"/>
      <c r="B1019" s="6"/>
      <c r="C1019" s="6"/>
      <c r="D1019" s="6"/>
      <c r="E1019" s="6"/>
      <c r="F1019" s="6"/>
      <c r="G1019" s="6"/>
    </row>
    <row r="1020" customHeight="1" spans="1:7">
      <c r="A1020" s="6"/>
      <c r="B1020" s="6"/>
      <c r="C1020" s="6"/>
      <c r="D1020" s="6"/>
      <c r="E1020" s="6"/>
      <c r="F1020" s="6"/>
      <c r="G1020" s="6"/>
    </row>
    <row r="1021" customHeight="1" spans="1:7">
      <c r="A1021" s="6"/>
      <c r="B1021" s="6"/>
      <c r="C1021" s="6"/>
      <c r="D1021" s="6"/>
      <c r="E1021" s="6"/>
      <c r="F1021" s="6"/>
      <c r="G1021" s="6"/>
    </row>
    <row r="1022" customHeight="1" spans="1:7">
      <c r="A1022" s="6"/>
      <c r="B1022" s="6"/>
      <c r="C1022" s="6"/>
      <c r="D1022" s="6"/>
      <c r="E1022" s="6"/>
      <c r="F1022" s="6"/>
      <c r="G1022" s="6"/>
    </row>
    <row r="1023" customHeight="1" spans="1:7">
      <c r="A1023" s="6"/>
      <c r="B1023" s="6"/>
      <c r="C1023" s="6"/>
      <c r="D1023" s="6"/>
      <c r="E1023" s="6"/>
      <c r="F1023" s="6"/>
      <c r="G1023" s="6"/>
    </row>
    <row r="1024" customHeight="1" spans="1:7">
      <c r="A1024" s="6"/>
      <c r="B1024" s="6"/>
      <c r="C1024" s="6"/>
      <c r="D1024" s="6"/>
      <c r="E1024" s="6"/>
      <c r="F1024" s="6"/>
      <c r="G1024" s="6"/>
    </row>
    <row r="1025" customHeight="1" spans="1:7">
      <c r="A1025" s="6"/>
      <c r="B1025" s="6"/>
      <c r="C1025" s="6"/>
      <c r="D1025" s="6"/>
      <c r="E1025" s="6"/>
      <c r="F1025" s="6"/>
      <c r="G1025" s="6"/>
    </row>
    <row r="1026" customHeight="1" spans="1:7">
      <c r="A1026" s="6"/>
      <c r="B1026" s="6"/>
      <c r="C1026" s="6"/>
      <c r="D1026" s="6"/>
      <c r="E1026" s="6"/>
      <c r="F1026" s="6"/>
      <c r="G1026" s="6"/>
    </row>
    <row r="1027" customHeight="1" spans="1:7">
      <c r="A1027" s="6"/>
      <c r="B1027" s="6"/>
      <c r="C1027" s="6"/>
      <c r="D1027" s="6"/>
      <c r="E1027" s="6"/>
      <c r="F1027" s="6"/>
      <c r="G1027" s="6"/>
    </row>
    <row r="1028" customHeight="1" spans="1:7">
      <c r="A1028" s="6"/>
      <c r="B1028" s="6"/>
      <c r="C1028" s="6"/>
      <c r="D1028" s="6"/>
      <c r="E1028" s="6"/>
      <c r="F1028" s="6"/>
      <c r="G1028" s="6"/>
    </row>
    <row r="1029" customHeight="1" spans="1:7">
      <c r="A1029" s="6"/>
      <c r="B1029" s="6"/>
      <c r="C1029" s="6"/>
      <c r="D1029" s="6"/>
      <c r="E1029" s="6"/>
      <c r="F1029" s="6"/>
      <c r="G1029" s="6"/>
    </row>
    <row r="1030" customHeight="1" spans="1:7">
      <c r="A1030" s="6"/>
      <c r="B1030" s="6"/>
      <c r="C1030" s="6"/>
      <c r="D1030" s="6"/>
      <c r="E1030" s="6"/>
      <c r="F1030" s="6"/>
      <c r="G1030" s="6"/>
    </row>
    <row r="1031" customHeight="1" spans="1:7">
      <c r="A1031" s="6"/>
      <c r="B1031" s="6"/>
      <c r="C1031" s="6"/>
      <c r="D1031" s="6"/>
      <c r="E1031" s="6"/>
      <c r="F1031" s="6"/>
      <c r="G1031" s="6"/>
    </row>
    <row r="1032" customHeight="1" spans="1:7">
      <c r="A1032" s="6"/>
      <c r="B1032" s="6"/>
      <c r="C1032" s="6"/>
      <c r="D1032" s="6"/>
      <c r="E1032" s="6"/>
      <c r="F1032" s="6"/>
      <c r="G1032" s="6"/>
    </row>
    <row r="1033" customHeight="1" spans="1:7">
      <c r="A1033" s="6"/>
      <c r="B1033" s="6"/>
      <c r="C1033" s="6"/>
      <c r="D1033" s="6"/>
      <c r="E1033" s="6"/>
      <c r="F1033" s="6"/>
      <c r="G1033" s="6"/>
    </row>
    <row r="1034" customHeight="1" spans="1:7">
      <c r="A1034" s="6"/>
      <c r="B1034" s="6"/>
      <c r="C1034" s="6"/>
      <c r="D1034" s="6"/>
      <c r="E1034" s="6"/>
      <c r="F1034" s="6"/>
      <c r="G1034" s="6"/>
    </row>
    <row r="1035" customHeight="1" spans="1:7">
      <c r="A1035" s="6"/>
      <c r="B1035" s="6"/>
      <c r="C1035" s="6"/>
      <c r="D1035" s="6"/>
      <c r="E1035" s="6"/>
      <c r="F1035" s="6"/>
      <c r="G1035" s="6"/>
    </row>
    <row r="1036" customHeight="1" spans="1:7">
      <c r="A1036" s="6"/>
      <c r="B1036" s="6"/>
      <c r="C1036" s="6"/>
      <c r="D1036" s="6"/>
      <c r="E1036" s="6"/>
      <c r="F1036" s="6"/>
      <c r="G1036" s="6"/>
    </row>
    <row r="1037" customHeight="1" spans="1:7">
      <c r="A1037" s="6"/>
      <c r="B1037" s="6"/>
      <c r="C1037" s="6"/>
      <c r="D1037" s="6"/>
      <c r="E1037" s="6"/>
      <c r="F1037" s="6"/>
      <c r="G1037" s="6"/>
    </row>
    <row r="1038" customHeight="1" spans="1:7">
      <c r="A1038" s="6"/>
      <c r="B1038" s="6"/>
      <c r="C1038" s="6"/>
      <c r="D1038" s="6"/>
      <c r="E1038" s="6"/>
      <c r="F1038" s="6"/>
      <c r="G1038" s="6"/>
    </row>
    <row r="1039" customHeight="1" spans="1:7">
      <c r="A1039" s="6"/>
      <c r="B1039" s="6"/>
      <c r="C1039" s="6"/>
      <c r="D1039" s="6"/>
      <c r="E1039" s="6"/>
      <c r="F1039" s="6"/>
      <c r="G1039" s="6"/>
    </row>
    <row r="1040" customHeight="1" spans="1:7">
      <c r="A1040" s="6"/>
      <c r="B1040" s="6"/>
      <c r="C1040" s="6"/>
      <c r="D1040" s="6"/>
      <c r="E1040" s="6"/>
      <c r="F1040" s="6"/>
      <c r="G1040" s="6"/>
    </row>
    <row r="1041" customHeight="1" spans="1:7">
      <c r="A1041" s="6"/>
      <c r="B1041" s="6"/>
      <c r="C1041" s="6"/>
      <c r="D1041" s="6"/>
      <c r="E1041" s="6"/>
      <c r="F1041" s="6"/>
      <c r="G1041" s="6"/>
    </row>
    <row r="1042" customHeight="1" spans="1:7">
      <c r="A1042" s="6"/>
      <c r="B1042" s="6"/>
      <c r="C1042" s="6"/>
      <c r="D1042" s="6"/>
      <c r="E1042" s="6"/>
      <c r="F1042" s="6"/>
      <c r="G1042" s="6"/>
    </row>
    <row r="1043" customHeight="1" spans="1:7">
      <c r="A1043" s="6"/>
      <c r="B1043" s="6"/>
      <c r="C1043" s="6"/>
      <c r="D1043" s="6"/>
      <c r="E1043" s="6"/>
      <c r="F1043" s="6"/>
      <c r="G1043" s="6"/>
    </row>
    <row r="1044" customHeight="1" spans="1:7">
      <c r="A1044" s="6"/>
      <c r="B1044" s="6"/>
      <c r="C1044" s="6"/>
      <c r="D1044" s="6"/>
      <c r="E1044" s="6"/>
      <c r="F1044" s="6"/>
      <c r="G1044" s="6"/>
    </row>
    <row r="1045" customHeight="1" spans="1:7">
      <c r="A1045" s="6"/>
      <c r="B1045" s="6"/>
      <c r="C1045" s="6"/>
      <c r="D1045" s="6"/>
      <c r="E1045" s="6"/>
      <c r="F1045" s="6"/>
      <c r="G1045" s="6"/>
    </row>
    <row r="1046" customHeight="1" spans="1:7">
      <c r="A1046" s="6"/>
      <c r="B1046" s="6"/>
      <c r="C1046" s="6"/>
      <c r="D1046" s="6"/>
      <c r="E1046" s="6"/>
      <c r="F1046" s="6"/>
      <c r="G1046" s="6"/>
    </row>
    <row r="1047" customHeight="1" spans="1:7">
      <c r="A1047" s="6"/>
      <c r="B1047" s="6"/>
      <c r="C1047" s="6"/>
      <c r="D1047" s="6"/>
      <c r="E1047" s="6"/>
      <c r="F1047" s="6"/>
      <c r="G1047" s="6"/>
    </row>
    <row r="1048" customHeight="1" spans="1:7">
      <c r="A1048" s="6"/>
      <c r="B1048" s="6"/>
      <c r="C1048" s="6"/>
      <c r="D1048" s="6"/>
      <c r="E1048" s="6"/>
      <c r="F1048" s="6"/>
      <c r="G1048" s="6"/>
    </row>
    <row r="1049" customHeight="1" spans="1:7">
      <c r="A1049" s="6"/>
      <c r="B1049" s="6"/>
      <c r="C1049" s="6"/>
      <c r="D1049" s="6"/>
      <c r="E1049" s="6"/>
      <c r="F1049" s="6"/>
      <c r="G1049" s="6"/>
    </row>
    <row r="1050" customHeight="1" spans="1:7">
      <c r="A1050" s="6"/>
      <c r="B1050" s="6"/>
      <c r="C1050" s="6"/>
      <c r="D1050" s="6"/>
      <c r="E1050" s="6"/>
      <c r="F1050" s="6"/>
      <c r="G1050" s="6"/>
    </row>
    <row r="1051" customHeight="1" spans="1:7">
      <c r="A1051" s="6"/>
      <c r="B1051" s="6"/>
      <c r="C1051" s="6"/>
      <c r="D1051" s="6"/>
      <c r="E1051" s="6"/>
      <c r="F1051" s="6"/>
      <c r="G1051" s="6"/>
    </row>
    <row r="1052" customHeight="1" spans="1:7">
      <c r="A1052" s="6"/>
      <c r="B1052" s="6"/>
      <c r="C1052" s="6"/>
      <c r="D1052" s="6"/>
      <c r="E1052" s="6"/>
      <c r="F1052" s="6"/>
      <c r="G1052" s="6"/>
    </row>
    <row r="1053" customHeight="1" spans="1:7">
      <c r="A1053" s="6"/>
      <c r="B1053" s="6"/>
      <c r="C1053" s="6"/>
      <c r="D1053" s="6"/>
      <c r="E1053" s="6"/>
      <c r="F1053" s="6"/>
      <c r="G1053" s="6"/>
    </row>
    <row r="1054" customHeight="1" spans="1:7">
      <c r="A1054" s="6"/>
      <c r="B1054" s="6"/>
      <c r="C1054" s="6"/>
      <c r="D1054" s="6"/>
      <c r="E1054" s="6"/>
      <c r="F1054" s="6"/>
      <c r="G1054" s="6"/>
    </row>
    <row r="1055" customHeight="1" spans="1:7">
      <c r="A1055" s="6"/>
      <c r="B1055" s="6"/>
      <c r="C1055" s="6"/>
      <c r="D1055" s="6"/>
      <c r="E1055" s="6"/>
      <c r="F1055" s="6"/>
      <c r="G1055" s="6"/>
    </row>
    <row r="1056" customHeight="1" spans="1:7">
      <c r="A1056" s="6"/>
      <c r="B1056" s="6"/>
      <c r="C1056" s="6"/>
      <c r="D1056" s="6"/>
      <c r="E1056" s="6"/>
      <c r="F1056" s="6"/>
      <c r="G1056" s="6"/>
    </row>
    <row r="1057" customHeight="1" spans="1:7">
      <c r="A1057" s="6"/>
      <c r="B1057" s="6"/>
      <c r="C1057" s="6"/>
      <c r="D1057" s="6"/>
      <c r="E1057" s="6"/>
      <c r="F1057" s="6"/>
      <c r="G1057" s="6"/>
    </row>
    <row r="1058" customHeight="1" spans="1:7">
      <c r="A1058" s="6"/>
      <c r="B1058" s="6"/>
      <c r="C1058" s="6"/>
      <c r="D1058" s="6"/>
      <c r="E1058" s="6"/>
      <c r="F1058" s="6"/>
      <c r="G1058" s="6"/>
    </row>
    <row r="1059" customHeight="1" spans="1:7">
      <c r="A1059" s="6"/>
      <c r="B1059" s="6"/>
      <c r="C1059" s="6"/>
      <c r="D1059" s="6"/>
      <c r="E1059" s="6"/>
      <c r="F1059" s="6"/>
      <c r="G1059" s="6"/>
    </row>
    <row r="1060" customHeight="1" spans="1:7">
      <c r="A1060" s="6"/>
      <c r="B1060" s="6"/>
      <c r="C1060" s="6"/>
      <c r="D1060" s="6"/>
      <c r="E1060" s="6"/>
      <c r="F1060" s="6"/>
      <c r="G1060" s="6"/>
    </row>
    <row r="1061" customHeight="1" spans="1:7">
      <c r="A1061" s="6"/>
      <c r="B1061" s="6"/>
      <c r="C1061" s="6"/>
      <c r="D1061" s="6"/>
      <c r="E1061" s="6"/>
      <c r="F1061" s="6"/>
      <c r="G1061" s="6"/>
    </row>
    <row r="1062" customHeight="1" spans="1:7">
      <c r="A1062" s="6"/>
      <c r="B1062" s="6"/>
      <c r="C1062" s="6"/>
      <c r="D1062" s="6"/>
      <c r="E1062" s="6"/>
      <c r="F1062" s="6"/>
      <c r="G1062" s="6"/>
    </row>
    <row r="1063" customHeight="1" spans="1:7">
      <c r="A1063" s="6"/>
      <c r="B1063" s="6"/>
      <c r="C1063" s="6"/>
      <c r="D1063" s="6"/>
      <c r="E1063" s="6"/>
      <c r="F1063" s="6"/>
      <c r="G1063" s="6"/>
    </row>
    <row r="1064" customHeight="1" spans="1:7">
      <c r="A1064" s="6"/>
      <c r="B1064" s="6"/>
      <c r="C1064" s="6"/>
      <c r="D1064" s="6"/>
      <c r="E1064" s="6"/>
      <c r="F1064" s="6"/>
      <c r="G1064" s="6"/>
    </row>
    <row r="1065" customHeight="1" spans="1:7">
      <c r="A1065" s="6"/>
      <c r="B1065" s="6"/>
      <c r="C1065" s="6"/>
      <c r="D1065" s="6"/>
      <c r="E1065" s="6"/>
      <c r="F1065" s="6"/>
      <c r="G1065" s="6"/>
    </row>
    <row r="1066" customHeight="1" spans="1:7">
      <c r="A1066" s="6"/>
      <c r="B1066" s="6"/>
      <c r="C1066" s="6"/>
      <c r="D1066" s="6"/>
      <c r="E1066" s="6"/>
      <c r="F1066" s="6"/>
      <c r="G1066" s="6"/>
    </row>
    <row r="1067" customHeight="1" spans="1:7">
      <c r="A1067" s="6"/>
      <c r="B1067" s="6"/>
      <c r="C1067" s="6"/>
      <c r="D1067" s="6"/>
      <c r="E1067" s="6"/>
      <c r="F1067" s="6"/>
      <c r="G1067" s="6"/>
    </row>
    <row r="1068" customHeight="1" spans="1:7">
      <c r="A1068" s="6"/>
      <c r="B1068" s="6"/>
      <c r="C1068" s="6"/>
      <c r="D1068" s="6"/>
      <c r="E1068" s="6"/>
      <c r="F1068" s="6"/>
      <c r="G1068" s="6"/>
    </row>
    <row r="1069" customHeight="1" spans="1:7">
      <c r="A1069" s="6"/>
      <c r="B1069" s="6"/>
      <c r="C1069" s="6"/>
      <c r="D1069" s="6"/>
      <c r="E1069" s="6"/>
      <c r="F1069" s="6"/>
      <c r="G1069" s="6"/>
    </row>
    <row r="1070" customHeight="1" spans="1:7">
      <c r="A1070" s="6"/>
      <c r="B1070" s="6"/>
      <c r="C1070" s="6"/>
      <c r="D1070" s="6"/>
      <c r="E1070" s="6"/>
      <c r="F1070" s="6"/>
      <c r="G1070" s="6"/>
    </row>
    <row r="1071" customHeight="1" spans="1:7">
      <c r="A1071" s="6"/>
      <c r="B1071" s="6"/>
      <c r="C1071" s="6"/>
      <c r="D1071" s="6"/>
      <c r="E1071" s="6"/>
      <c r="F1071" s="6"/>
      <c r="G1071" s="6"/>
    </row>
    <row r="1072" customHeight="1" spans="1:7">
      <c r="A1072" s="6"/>
      <c r="B1072" s="6"/>
      <c r="C1072" s="6"/>
      <c r="D1072" s="6"/>
      <c r="E1072" s="6"/>
      <c r="F1072" s="6"/>
      <c r="G1072" s="6"/>
    </row>
    <row r="1073" customHeight="1" spans="1:7">
      <c r="A1073" s="6"/>
      <c r="B1073" s="6"/>
      <c r="C1073" s="6"/>
      <c r="D1073" s="6"/>
      <c r="E1073" s="6"/>
      <c r="F1073" s="6"/>
      <c r="G1073" s="6"/>
    </row>
    <row r="1074" customHeight="1" spans="1:7">
      <c r="A1074" s="6"/>
      <c r="B1074" s="6"/>
      <c r="C1074" s="6"/>
      <c r="D1074" s="6"/>
      <c r="E1074" s="6"/>
      <c r="F1074" s="6"/>
      <c r="G1074" s="6"/>
    </row>
    <row r="1075" customHeight="1" spans="1:7">
      <c r="A1075" s="6"/>
      <c r="B1075" s="6"/>
      <c r="C1075" s="6"/>
      <c r="D1075" s="6"/>
      <c r="E1075" s="6"/>
      <c r="F1075" s="6"/>
      <c r="G1075" s="6"/>
    </row>
    <row r="1076" customHeight="1" spans="1:7">
      <c r="A1076" s="6"/>
      <c r="B1076" s="6"/>
      <c r="C1076" s="6"/>
      <c r="D1076" s="6"/>
      <c r="E1076" s="6"/>
      <c r="F1076" s="6"/>
      <c r="G1076" s="6"/>
    </row>
    <row r="1077" customHeight="1" spans="1:7">
      <c r="A1077" s="6"/>
      <c r="B1077" s="6"/>
      <c r="C1077" s="6"/>
      <c r="D1077" s="6"/>
      <c r="E1077" s="6"/>
      <c r="F1077" s="6"/>
      <c r="G1077" s="6"/>
    </row>
    <row r="1078" customHeight="1" spans="1:7">
      <c r="A1078" s="6"/>
      <c r="B1078" s="6"/>
      <c r="C1078" s="6"/>
      <c r="D1078" s="6"/>
      <c r="E1078" s="6"/>
      <c r="F1078" s="6"/>
      <c r="G1078" s="6"/>
    </row>
    <row r="1079" customHeight="1" spans="1:7">
      <c r="A1079" s="6"/>
      <c r="B1079" s="6"/>
      <c r="C1079" s="6"/>
      <c r="D1079" s="6"/>
      <c r="E1079" s="6"/>
      <c r="F1079" s="6"/>
      <c r="G1079" s="6"/>
    </row>
    <row r="1080" customHeight="1" spans="1:7">
      <c r="A1080" s="6"/>
      <c r="B1080" s="6"/>
      <c r="C1080" s="6"/>
      <c r="D1080" s="6"/>
      <c r="E1080" s="6"/>
      <c r="F1080" s="6"/>
      <c r="G1080" s="6"/>
    </row>
    <row r="1081" customHeight="1" spans="1:7">
      <c r="A1081" s="6"/>
      <c r="B1081" s="6"/>
      <c r="C1081" s="6"/>
      <c r="D1081" s="6"/>
      <c r="E1081" s="6"/>
      <c r="F1081" s="6"/>
      <c r="G1081" s="6"/>
    </row>
    <row r="1082" customHeight="1" spans="1:7">
      <c r="A1082" s="6"/>
      <c r="B1082" s="6"/>
      <c r="C1082" s="6"/>
      <c r="D1082" s="6"/>
      <c r="E1082" s="6"/>
      <c r="F1082" s="6"/>
      <c r="G1082" s="6"/>
    </row>
    <row r="1083" customHeight="1" spans="1:7">
      <c r="A1083" s="6"/>
      <c r="B1083" s="6"/>
      <c r="C1083" s="6"/>
      <c r="D1083" s="6"/>
      <c r="E1083" s="6"/>
      <c r="F1083" s="6"/>
      <c r="G1083" s="6"/>
    </row>
    <row r="1084" customHeight="1" spans="1:7">
      <c r="A1084" s="6"/>
      <c r="B1084" s="6"/>
      <c r="C1084" s="6"/>
      <c r="D1084" s="6"/>
      <c r="E1084" s="6"/>
      <c r="F1084" s="6"/>
      <c r="G1084" s="6"/>
    </row>
    <row r="1085" customHeight="1" spans="1:7">
      <c r="A1085" s="6"/>
      <c r="B1085" s="6"/>
      <c r="C1085" s="6"/>
      <c r="D1085" s="6"/>
      <c r="E1085" s="6"/>
      <c r="F1085" s="6"/>
      <c r="G1085" s="6"/>
    </row>
    <row r="1086" customHeight="1" spans="1:7">
      <c r="A1086" s="6"/>
      <c r="B1086" s="6"/>
      <c r="C1086" s="6"/>
      <c r="D1086" s="6"/>
      <c r="E1086" s="6"/>
      <c r="F1086" s="6"/>
      <c r="G1086" s="6"/>
    </row>
    <row r="1087" customHeight="1" spans="1:7">
      <c r="A1087" s="6"/>
      <c r="B1087" s="6"/>
      <c r="C1087" s="6"/>
      <c r="D1087" s="6"/>
      <c r="E1087" s="6"/>
      <c r="F1087" s="6"/>
      <c r="G1087" s="6"/>
    </row>
    <row r="1088" customHeight="1" spans="1:7">
      <c r="A1088" s="6"/>
      <c r="B1088" s="6"/>
      <c r="C1088" s="6"/>
      <c r="D1088" s="6"/>
      <c r="E1088" s="6"/>
      <c r="F1088" s="6"/>
      <c r="G1088" s="6"/>
    </row>
    <row r="1089" customHeight="1" spans="1:7">
      <c r="A1089" s="6"/>
      <c r="B1089" s="6"/>
      <c r="C1089" s="6"/>
      <c r="D1089" s="6"/>
      <c r="E1089" s="6"/>
      <c r="F1089" s="6"/>
      <c r="G1089" s="6"/>
    </row>
    <row r="1090" customHeight="1" spans="1:7">
      <c r="A1090" s="6"/>
      <c r="B1090" s="6"/>
      <c r="C1090" s="6"/>
      <c r="D1090" s="6"/>
      <c r="E1090" s="6"/>
      <c r="F1090" s="6"/>
      <c r="G1090" s="6"/>
    </row>
    <row r="1091" customHeight="1" spans="1:7">
      <c r="A1091" s="6"/>
      <c r="B1091" s="6"/>
      <c r="C1091" s="6"/>
      <c r="D1091" s="6"/>
      <c r="E1091" s="6"/>
      <c r="F1091" s="6"/>
      <c r="G1091" s="6"/>
    </row>
    <row r="1092" customHeight="1" spans="1:7">
      <c r="A1092" s="6"/>
      <c r="B1092" s="6"/>
      <c r="C1092" s="6"/>
      <c r="D1092" s="6"/>
      <c r="E1092" s="6"/>
      <c r="F1092" s="6"/>
      <c r="G1092" s="6"/>
    </row>
    <row r="1093" customHeight="1" spans="1:7">
      <c r="A1093" s="6"/>
      <c r="B1093" s="6"/>
      <c r="C1093" s="6"/>
      <c r="D1093" s="6"/>
      <c r="E1093" s="6"/>
      <c r="F1093" s="6"/>
      <c r="G1093" s="6"/>
    </row>
    <row r="1094" customHeight="1" spans="1:7">
      <c r="A1094" s="6"/>
      <c r="B1094" s="6"/>
      <c r="C1094" s="6"/>
      <c r="D1094" s="6"/>
      <c r="E1094" s="6"/>
      <c r="F1094" s="6"/>
      <c r="G1094" s="6"/>
    </row>
    <row r="1095" customHeight="1" spans="1:7">
      <c r="A1095" s="6"/>
      <c r="B1095" s="6"/>
      <c r="C1095" s="6"/>
      <c r="D1095" s="6"/>
      <c r="E1095" s="6"/>
      <c r="F1095" s="6"/>
      <c r="G1095" s="6"/>
    </row>
    <row r="1096" customHeight="1" spans="1:7">
      <c r="A1096" s="6"/>
      <c r="B1096" s="6"/>
      <c r="C1096" s="6"/>
      <c r="D1096" s="6"/>
      <c r="E1096" s="6"/>
      <c r="F1096" s="6"/>
      <c r="G1096" s="6"/>
    </row>
    <row r="1097" customHeight="1" spans="1:7">
      <c r="A1097" s="6"/>
      <c r="B1097" s="6"/>
      <c r="C1097" s="6"/>
      <c r="D1097" s="6"/>
      <c r="E1097" s="6"/>
      <c r="F1097" s="6"/>
      <c r="G1097" s="6"/>
    </row>
    <row r="1098" customHeight="1" spans="1:7">
      <c r="A1098" s="6"/>
      <c r="B1098" s="6"/>
      <c r="C1098" s="6"/>
      <c r="D1098" s="6"/>
      <c r="E1098" s="6"/>
      <c r="F1098" s="6"/>
      <c r="G1098" s="6"/>
    </row>
    <row r="1099" customHeight="1" spans="1:7">
      <c r="A1099" s="6"/>
      <c r="B1099" s="6"/>
      <c r="C1099" s="6"/>
      <c r="D1099" s="6"/>
      <c r="E1099" s="6"/>
      <c r="F1099" s="6"/>
      <c r="G1099" s="6"/>
    </row>
    <row r="1100" customHeight="1" spans="1:7">
      <c r="A1100" s="6"/>
      <c r="B1100" s="6"/>
      <c r="C1100" s="6"/>
      <c r="D1100" s="6"/>
      <c r="E1100" s="6"/>
      <c r="F1100" s="6"/>
      <c r="G1100" s="6"/>
    </row>
    <row r="1101" customHeight="1" spans="1:7">
      <c r="A1101" s="6"/>
      <c r="B1101" s="6"/>
      <c r="C1101" s="6"/>
      <c r="D1101" s="6"/>
      <c r="E1101" s="6"/>
      <c r="F1101" s="6"/>
      <c r="G1101" s="6"/>
    </row>
    <row r="1102" customHeight="1" spans="1:7">
      <c r="A1102" s="6"/>
      <c r="B1102" s="6"/>
      <c r="C1102" s="6"/>
      <c r="D1102" s="6"/>
      <c r="E1102" s="6"/>
      <c r="F1102" s="6"/>
      <c r="G1102" s="6"/>
    </row>
    <row r="1103" customHeight="1" spans="1:7">
      <c r="A1103" s="6"/>
      <c r="B1103" s="6"/>
      <c r="C1103" s="6"/>
      <c r="D1103" s="6"/>
      <c r="E1103" s="6"/>
      <c r="F1103" s="6"/>
      <c r="G1103" s="6"/>
    </row>
    <row r="1104" customHeight="1" spans="1:7">
      <c r="A1104" s="6"/>
      <c r="B1104" s="6"/>
      <c r="C1104" s="6"/>
      <c r="D1104" s="6"/>
      <c r="E1104" s="6"/>
      <c r="F1104" s="6"/>
      <c r="G1104" s="6"/>
    </row>
    <row r="1105" customHeight="1" spans="1:7">
      <c r="A1105" s="6"/>
      <c r="B1105" s="6"/>
      <c r="C1105" s="6"/>
      <c r="D1105" s="6"/>
      <c r="E1105" s="6"/>
      <c r="F1105" s="6"/>
      <c r="G1105" s="6"/>
    </row>
    <row r="1106" customHeight="1" spans="1:7">
      <c r="A1106" s="6"/>
      <c r="B1106" s="6"/>
      <c r="C1106" s="6"/>
      <c r="D1106" s="6"/>
      <c r="E1106" s="6"/>
      <c r="F1106" s="6"/>
      <c r="G1106" s="6"/>
    </row>
    <row r="1107" customHeight="1" spans="1:7">
      <c r="A1107" s="6"/>
      <c r="B1107" s="6"/>
      <c r="C1107" s="6"/>
      <c r="D1107" s="6"/>
      <c r="E1107" s="6"/>
      <c r="F1107" s="6"/>
      <c r="G1107" s="6"/>
    </row>
    <row r="1108" customHeight="1" spans="1:7">
      <c r="A1108" s="6"/>
      <c r="B1108" s="6"/>
      <c r="C1108" s="6"/>
      <c r="D1108" s="6"/>
      <c r="E1108" s="6"/>
      <c r="F1108" s="6"/>
      <c r="G1108" s="6"/>
    </row>
    <row r="1109" customHeight="1" spans="1:7">
      <c r="A1109" s="6"/>
      <c r="B1109" s="6"/>
      <c r="C1109" s="6"/>
      <c r="D1109" s="6"/>
      <c r="E1109" s="6"/>
      <c r="F1109" s="6"/>
      <c r="G1109" s="6"/>
    </row>
    <row r="1110" customHeight="1" spans="1:7">
      <c r="A1110" s="6"/>
      <c r="B1110" s="6"/>
      <c r="C1110" s="6"/>
      <c r="D1110" s="6"/>
      <c r="E1110" s="6"/>
      <c r="F1110" s="6"/>
      <c r="G1110" s="6"/>
    </row>
    <row r="1111" customHeight="1" spans="1:7">
      <c r="A1111" s="6"/>
      <c r="B1111" s="6"/>
      <c r="C1111" s="6"/>
      <c r="D1111" s="6"/>
      <c r="E1111" s="6"/>
      <c r="F1111" s="6"/>
      <c r="G1111" s="6"/>
    </row>
    <row r="1112" customHeight="1" spans="1:7">
      <c r="A1112" s="6"/>
      <c r="B1112" s="6"/>
      <c r="C1112" s="6"/>
      <c r="D1112" s="6"/>
      <c r="E1112" s="6"/>
      <c r="F1112" s="6"/>
      <c r="G1112" s="6"/>
    </row>
    <row r="1113" customHeight="1" spans="1:7">
      <c r="A1113" s="6"/>
      <c r="B1113" s="6"/>
      <c r="C1113" s="6"/>
      <c r="D1113" s="6"/>
      <c r="E1113" s="6"/>
      <c r="F1113" s="6"/>
      <c r="G1113" s="6"/>
    </row>
    <row r="1114" customHeight="1" spans="1:7">
      <c r="A1114" s="6"/>
      <c r="B1114" s="6"/>
      <c r="C1114" s="6"/>
      <c r="D1114" s="6"/>
      <c r="E1114" s="6"/>
      <c r="F1114" s="6"/>
      <c r="G1114" s="6"/>
    </row>
    <row r="1115" customHeight="1" spans="1:7">
      <c r="A1115" s="6"/>
      <c r="B1115" s="6"/>
      <c r="C1115" s="6"/>
      <c r="D1115" s="6"/>
      <c r="E1115" s="6"/>
      <c r="F1115" s="6"/>
      <c r="G1115" s="6"/>
    </row>
    <row r="1116" customHeight="1" spans="1:7">
      <c r="A1116" s="6"/>
      <c r="B1116" s="6"/>
      <c r="C1116" s="6"/>
      <c r="D1116" s="6"/>
      <c r="E1116" s="6"/>
      <c r="F1116" s="6"/>
      <c r="G1116" s="6"/>
    </row>
    <row r="1117" customHeight="1" spans="1:7">
      <c r="A1117" s="6"/>
      <c r="B1117" s="6"/>
      <c r="C1117" s="6"/>
      <c r="D1117" s="6"/>
      <c r="E1117" s="6"/>
      <c r="F1117" s="6"/>
      <c r="G1117" s="6"/>
    </row>
    <row r="1118" customHeight="1" spans="1:7">
      <c r="A1118" s="6"/>
      <c r="B1118" s="6"/>
      <c r="C1118" s="6"/>
      <c r="D1118" s="6"/>
      <c r="E1118" s="6"/>
      <c r="F1118" s="6"/>
      <c r="G1118" s="6"/>
    </row>
    <row r="1119" customHeight="1" spans="1:7">
      <c r="A1119" s="6"/>
      <c r="B1119" s="6"/>
      <c r="C1119" s="6"/>
      <c r="D1119" s="6"/>
      <c r="E1119" s="6"/>
      <c r="F1119" s="6"/>
      <c r="G1119" s="6"/>
    </row>
    <row r="1120" customHeight="1" spans="1:7">
      <c r="A1120" s="6"/>
      <c r="B1120" s="6"/>
      <c r="C1120" s="6"/>
      <c r="D1120" s="6"/>
      <c r="E1120" s="6"/>
      <c r="F1120" s="6"/>
      <c r="G1120" s="6"/>
    </row>
    <row r="1121" customHeight="1" spans="1:7">
      <c r="A1121" s="6"/>
      <c r="B1121" s="6"/>
      <c r="C1121" s="6"/>
      <c r="D1121" s="6"/>
      <c r="E1121" s="6"/>
      <c r="F1121" s="6"/>
      <c r="G1121" s="6"/>
    </row>
    <row r="1122" customHeight="1" spans="1:7">
      <c r="A1122" s="6"/>
      <c r="B1122" s="6"/>
      <c r="C1122" s="6"/>
      <c r="D1122" s="6"/>
      <c r="E1122" s="6"/>
      <c r="F1122" s="6"/>
      <c r="G1122" s="6"/>
    </row>
    <row r="1123" customHeight="1" spans="1:7">
      <c r="A1123" s="6"/>
      <c r="B1123" s="6"/>
      <c r="C1123" s="6"/>
      <c r="D1123" s="6"/>
      <c r="E1123" s="6"/>
      <c r="F1123" s="6"/>
      <c r="G1123" s="6"/>
    </row>
    <row r="1124" customHeight="1" spans="1:7">
      <c r="A1124" s="6"/>
      <c r="B1124" s="6"/>
      <c r="C1124" s="6"/>
      <c r="D1124" s="6"/>
      <c r="E1124" s="6"/>
      <c r="F1124" s="6"/>
      <c r="G1124" s="6"/>
    </row>
    <row r="1125" customHeight="1" spans="1:7">
      <c r="A1125" s="6"/>
      <c r="B1125" s="6"/>
      <c r="C1125" s="6"/>
      <c r="D1125" s="6"/>
      <c r="E1125" s="6"/>
      <c r="F1125" s="6"/>
      <c r="G1125" s="6"/>
    </row>
    <row r="1126" customHeight="1" spans="1:7">
      <c r="A1126" s="6"/>
      <c r="B1126" s="6"/>
      <c r="C1126" s="6"/>
      <c r="D1126" s="6"/>
      <c r="E1126" s="6"/>
      <c r="F1126" s="6"/>
      <c r="G1126" s="6"/>
    </row>
    <row r="1127" customHeight="1" spans="1:7">
      <c r="A1127" s="6"/>
      <c r="B1127" s="6"/>
      <c r="C1127" s="6"/>
      <c r="D1127" s="6"/>
      <c r="E1127" s="6"/>
      <c r="F1127" s="6"/>
      <c r="G1127" s="6"/>
    </row>
    <row r="1128" customHeight="1" spans="1:7">
      <c r="A1128" s="6"/>
      <c r="B1128" s="6"/>
      <c r="C1128" s="6"/>
      <c r="D1128" s="6"/>
      <c r="E1128" s="6"/>
      <c r="F1128" s="6"/>
      <c r="G1128" s="6"/>
    </row>
    <row r="1129" customHeight="1" spans="1:7">
      <c r="A1129" s="6"/>
      <c r="B1129" s="6"/>
      <c r="C1129" s="6"/>
      <c r="D1129" s="6"/>
      <c r="E1129" s="6"/>
      <c r="F1129" s="6"/>
      <c r="G1129" s="6"/>
    </row>
    <row r="1130" customHeight="1" spans="1:7">
      <c r="A1130" s="6"/>
      <c r="B1130" s="6"/>
      <c r="C1130" s="6"/>
      <c r="D1130" s="6"/>
      <c r="E1130" s="6"/>
      <c r="F1130" s="6"/>
      <c r="G1130" s="6"/>
    </row>
    <row r="1131" customHeight="1" spans="1:7">
      <c r="A1131" s="6"/>
      <c r="B1131" s="6"/>
      <c r="C1131" s="6"/>
      <c r="D1131" s="6"/>
      <c r="E1131" s="6"/>
      <c r="F1131" s="6"/>
      <c r="G1131" s="6"/>
    </row>
    <row r="1132" customHeight="1" spans="1:7">
      <c r="A1132" s="6"/>
      <c r="B1132" s="6"/>
      <c r="C1132" s="6"/>
      <c r="D1132" s="6"/>
      <c r="E1132" s="6"/>
      <c r="F1132" s="6"/>
      <c r="G1132" s="6"/>
    </row>
    <row r="1133" customHeight="1" spans="1:7">
      <c r="A1133" s="6"/>
      <c r="B1133" s="6"/>
      <c r="C1133" s="6"/>
      <c r="D1133" s="6"/>
      <c r="E1133" s="6"/>
      <c r="F1133" s="6"/>
      <c r="G1133" s="6"/>
    </row>
    <row r="1134" customHeight="1" spans="1:7">
      <c r="A1134" s="6"/>
      <c r="B1134" s="6"/>
      <c r="C1134" s="6"/>
      <c r="D1134" s="6"/>
      <c r="E1134" s="6"/>
      <c r="F1134" s="6"/>
      <c r="G1134" s="6"/>
    </row>
    <row r="1135" customHeight="1" spans="1:7">
      <c r="A1135" s="6"/>
      <c r="B1135" s="6"/>
      <c r="C1135" s="6"/>
      <c r="D1135" s="6"/>
      <c r="E1135" s="6"/>
      <c r="F1135" s="6"/>
      <c r="G1135" s="6"/>
    </row>
    <row r="1136" customHeight="1" spans="1:7">
      <c r="A1136" s="6"/>
      <c r="B1136" s="6"/>
      <c r="C1136" s="6"/>
      <c r="D1136" s="6"/>
      <c r="E1136" s="6"/>
      <c r="F1136" s="6"/>
      <c r="G1136" s="6"/>
    </row>
    <row r="1137" customHeight="1" spans="1:7">
      <c r="A1137" s="6"/>
      <c r="B1137" s="6"/>
      <c r="C1137" s="6"/>
      <c r="D1137" s="6"/>
      <c r="E1137" s="6"/>
      <c r="F1137" s="6"/>
      <c r="G1137" s="6"/>
    </row>
    <row r="1138" customHeight="1" spans="1:7">
      <c r="A1138" s="6"/>
      <c r="B1138" s="6"/>
      <c r="C1138" s="6"/>
      <c r="D1138" s="6"/>
      <c r="E1138" s="6"/>
      <c r="F1138" s="6"/>
      <c r="G1138" s="6"/>
    </row>
    <row r="1139" customHeight="1" spans="1:7">
      <c r="A1139" s="6"/>
      <c r="B1139" s="6"/>
      <c r="C1139" s="6"/>
      <c r="D1139" s="6"/>
      <c r="E1139" s="6"/>
      <c r="F1139" s="6"/>
      <c r="G1139" s="6"/>
    </row>
    <row r="1140" customHeight="1" spans="1:7">
      <c r="A1140" s="6"/>
      <c r="B1140" s="6"/>
      <c r="C1140" s="6"/>
      <c r="D1140" s="6"/>
      <c r="E1140" s="6"/>
      <c r="F1140" s="6"/>
      <c r="G1140" s="6"/>
    </row>
    <row r="1141" customHeight="1" spans="1:7">
      <c r="A1141" s="6"/>
      <c r="B1141" s="6"/>
      <c r="C1141" s="6"/>
      <c r="D1141" s="6"/>
      <c r="E1141" s="6"/>
      <c r="F1141" s="6"/>
      <c r="G1141" s="6"/>
    </row>
    <row r="1142" customHeight="1" spans="1:7">
      <c r="A1142" s="6"/>
      <c r="B1142" s="6"/>
      <c r="C1142" s="6"/>
      <c r="D1142" s="6"/>
      <c r="E1142" s="6"/>
      <c r="F1142" s="6"/>
      <c r="G1142" s="6"/>
    </row>
    <row r="1143" customHeight="1" spans="1:7">
      <c r="A1143" s="6"/>
      <c r="B1143" s="6"/>
      <c r="C1143" s="6"/>
      <c r="D1143" s="6"/>
      <c r="E1143" s="6"/>
      <c r="F1143" s="6"/>
      <c r="G1143" s="6"/>
    </row>
    <row r="1144" customHeight="1" spans="1:7">
      <c r="A1144" s="6"/>
      <c r="B1144" s="6"/>
      <c r="C1144" s="6"/>
      <c r="D1144" s="6"/>
      <c r="E1144" s="6"/>
      <c r="F1144" s="6"/>
      <c r="G1144" s="6"/>
    </row>
    <row r="1145" customHeight="1" spans="1:7">
      <c r="A1145" s="6"/>
      <c r="B1145" s="6"/>
      <c r="C1145" s="6"/>
      <c r="D1145" s="6"/>
      <c r="E1145" s="6"/>
      <c r="F1145" s="6"/>
      <c r="G1145" s="6"/>
    </row>
    <row r="1146" customHeight="1" spans="1:7">
      <c r="A1146" s="6"/>
      <c r="B1146" s="6"/>
      <c r="C1146" s="6"/>
      <c r="D1146" s="6"/>
      <c r="E1146" s="6"/>
      <c r="F1146" s="6"/>
      <c r="G1146" s="6"/>
    </row>
    <row r="1147" customHeight="1" spans="1:7">
      <c r="A1147" s="6"/>
      <c r="B1147" s="6"/>
      <c r="C1147" s="6"/>
      <c r="D1147" s="6"/>
      <c r="E1147" s="6"/>
      <c r="F1147" s="6"/>
      <c r="G1147" s="6"/>
    </row>
    <row r="1148" customHeight="1" spans="1:7">
      <c r="A1148" s="6"/>
      <c r="B1148" s="6"/>
      <c r="C1148" s="6"/>
      <c r="D1148" s="6"/>
      <c r="E1148" s="6"/>
      <c r="F1148" s="6"/>
      <c r="G1148" s="6"/>
    </row>
    <row r="1149" customHeight="1" spans="1:7">
      <c r="A1149" s="6"/>
      <c r="B1149" s="6"/>
      <c r="C1149" s="6"/>
      <c r="D1149" s="6"/>
      <c r="E1149" s="6"/>
      <c r="F1149" s="6"/>
      <c r="G1149" s="6"/>
    </row>
    <row r="1150" customHeight="1" spans="1:7">
      <c r="A1150" s="6"/>
      <c r="B1150" s="6"/>
      <c r="C1150" s="6"/>
      <c r="D1150" s="6"/>
      <c r="E1150" s="6"/>
      <c r="F1150" s="6"/>
      <c r="G1150" s="6"/>
    </row>
    <row r="1151" customHeight="1" spans="1:7">
      <c r="A1151" s="6"/>
      <c r="B1151" s="6"/>
      <c r="C1151" s="6"/>
      <c r="D1151" s="6"/>
      <c r="E1151" s="6"/>
      <c r="F1151" s="6"/>
      <c r="G1151" s="6"/>
    </row>
    <row r="1152" customHeight="1" spans="1:7">
      <c r="A1152" s="6"/>
      <c r="B1152" s="6"/>
      <c r="C1152" s="6"/>
      <c r="D1152" s="6"/>
      <c r="E1152" s="6"/>
      <c r="F1152" s="6"/>
      <c r="G1152" s="6"/>
    </row>
    <row r="1153" customHeight="1" spans="1:7">
      <c r="A1153" s="6"/>
      <c r="B1153" s="6"/>
      <c r="C1153" s="6"/>
      <c r="D1153" s="6"/>
      <c r="E1153" s="6"/>
      <c r="F1153" s="6"/>
      <c r="G1153" s="6"/>
    </row>
    <row r="1154" customHeight="1" spans="1:7">
      <c r="A1154" s="6"/>
      <c r="B1154" s="6"/>
      <c r="C1154" s="6"/>
      <c r="D1154" s="6"/>
      <c r="E1154" s="6"/>
      <c r="F1154" s="6"/>
      <c r="G1154" s="6"/>
    </row>
    <row r="1155" customHeight="1" spans="1:7">
      <c r="A1155" s="6"/>
      <c r="B1155" s="6"/>
      <c r="C1155" s="6"/>
      <c r="D1155" s="6"/>
      <c r="E1155" s="6"/>
      <c r="F1155" s="6"/>
      <c r="G1155" s="6"/>
    </row>
    <row r="1156" customHeight="1" spans="1:7">
      <c r="A1156" s="6"/>
      <c r="B1156" s="6"/>
      <c r="C1156" s="6"/>
      <c r="D1156" s="6"/>
      <c r="E1156" s="6"/>
      <c r="F1156" s="6"/>
      <c r="G1156" s="6"/>
    </row>
    <row r="1157" customHeight="1" spans="1:7">
      <c r="A1157" s="6"/>
      <c r="B1157" s="6"/>
      <c r="C1157" s="6"/>
      <c r="D1157" s="6"/>
      <c r="E1157" s="6"/>
      <c r="F1157" s="6"/>
      <c r="G1157" s="6"/>
    </row>
    <row r="1158" customHeight="1" spans="1:7">
      <c r="A1158" s="6"/>
      <c r="B1158" s="6"/>
      <c r="C1158" s="6"/>
      <c r="D1158" s="6"/>
      <c r="E1158" s="6"/>
      <c r="F1158" s="6"/>
      <c r="G1158" s="6"/>
    </row>
    <row r="1159" customHeight="1" spans="1:7">
      <c r="A1159" s="6"/>
      <c r="B1159" s="6"/>
      <c r="C1159" s="6"/>
      <c r="D1159" s="6"/>
      <c r="E1159" s="6"/>
      <c r="F1159" s="6"/>
      <c r="G1159" s="6"/>
    </row>
    <row r="1160" customHeight="1" spans="1:7">
      <c r="A1160" s="6"/>
      <c r="B1160" s="6"/>
      <c r="C1160" s="6"/>
      <c r="D1160" s="6"/>
      <c r="E1160" s="6"/>
      <c r="F1160" s="6"/>
      <c r="G1160" s="6"/>
    </row>
    <row r="1161" customHeight="1" spans="1:7">
      <c r="A1161" s="6"/>
      <c r="B1161" s="6"/>
      <c r="C1161" s="6"/>
      <c r="D1161" s="6"/>
      <c r="E1161" s="6"/>
      <c r="F1161" s="6"/>
      <c r="G1161" s="6"/>
    </row>
    <row r="1162" customHeight="1" spans="1:7">
      <c r="A1162" s="6"/>
      <c r="B1162" s="6"/>
      <c r="C1162" s="6"/>
      <c r="D1162" s="6"/>
      <c r="E1162" s="6"/>
      <c r="F1162" s="6"/>
      <c r="G1162" s="6"/>
    </row>
    <row r="1163" customHeight="1" spans="1:7">
      <c r="A1163" s="6"/>
      <c r="B1163" s="6"/>
      <c r="C1163" s="6"/>
      <c r="D1163" s="6"/>
      <c r="E1163" s="6"/>
      <c r="F1163" s="6"/>
      <c r="G1163" s="6"/>
    </row>
    <row r="1164" customHeight="1" spans="1:7">
      <c r="A1164" s="6"/>
      <c r="B1164" s="6"/>
      <c r="C1164" s="6"/>
      <c r="D1164" s="6"/>
      <c r="E1164" s="6"/>
      <c r="F1164" s="6"/>
      <c r="G1164" s="6"/>
    </row>
    <row r="1165" customHeight="1" spans="1:7">
      <c r="A1165" s="6"/>
      <c r="B1165" s="6"/>
      <c r="C1165" s="6"/>
      <c r="D1165" s="6"/>
      <c r="E1165" s="6"/>
      <c r="F1165" s="6"/>
      <c r="G1165" s="6"/>
    </row>
    <row r="1166" customHeight="1" spans="1:7">
      <c r="A1166" s="6"/>
      <c r="B1166" s="6"/>
      <c r="C1166" s="6"/>
      <c r="D1166" s="6"/>
      <c r="E1166" s="6"/>
      <c r="F1166" s="6"/>
      <c r="G1166" s="6"/>
    </row>
    <row r="1167" customHeight="1" spans="1:7">
      <c r="A1167" s="6"/>
      <c r="B1167" s="6"/>
      <c r="C1167" s="6"/>
      <c r="D1167" s="6"/>
      <c r="E1167" s="6"/>
      <c r="F1167" s="6"/>
      <c r="G1167" s="6"/>
    </row>
    <row r="1168" customHeight="1" spans="1:7">
      <c r="A1168" s="6"/>
      <c r="B1168" s="6"/>
      <c r="C1168" s="6"/>
      <c r="D1168" s="6"/>
      <c r="E1168" s="6"/>
      <c r="F1168" s="6"/>
      <c r="G1168" s="6"/>
    </row>
    <row r="1169" customHeight="1" spans="1:7">
      <c r="A1169" s="6"/>
      <c r="B1169" s="6"/>
      <c r="C1169" s="6"/>
      <c r="D1169" s="6"/>
      <c r="E1169" s="6"/>
      <c r="F1169" s="6"/>
      <c r="G1169" s="6"/>
    </row>
    <row r="1170" customHeight="1" spans="1:7">
      <c r="A1170" s="6"/>
      <c r="B1170" s="6"/>
      <c r="C1170" s="6"/>
      <c r="D1170" s="6"/>
      <c r="E1170" s="6"/>
      <c r="F1170" s="6"/>
      <c r="G1170" s="6"/>
    </row>
    <row r="1171" customHeight="1" spans="1:7">
      <c r="A1171" s="6"/>
      <c r="B1171" s="6"/>
      <c r="C1171" s="6"/>
      <c r="D1171" s="6"/>
      <c r="E1171" s="6"/>
      <c r="F1171" s="6"/>
      <c r="G1171" s="6"/>
    </row>
    <row r="1172" customHeight="1" spans="1:7">
      <c r="A1172" s="6"/>
      <c r="B1172" s="6"/>
      <c r="C1172" s="6"/>
      <c r="D1172" s="6"/>
      <c r="E1172" s="6"/>
      <c r="F1172" s="6"/>
      <c r="G1172" s="6"/>
    </row>
    <row r="1173" customHeight="1" spans="1:7">
      <c r="A1173" s="6"/>
      <c r="B1173" s="6"/>
      <c r="C1173" s="6"/>
      <c r="D1173" s="6"/>
      <c r="E1173" s="6"/>
      <c r="F1173" s="6"/>
      <c r="G1173" s="6"/>
    </row>
    <row r="1174" customHeight="1" spans="1:7">
      <c r="A1174" s="6"/>
      <c r="B1174" s="6"/>
      <c r="C1174" s="6"/>
      <c r="D1174" s="6"/>
      <c r="E1174" s="6"/>
      <c r="F1174" s="6"/>
      <c r="G1174" s="6"/>
    </row>
    <row r="1175" customHeight="1" spans="1:7">
      <c r="A1175" s="6"/>
      <c r="B1175" s="6"/>
      <c r="C1175" s="6"/>
      <c r="D1175" s="6"/>
      <c r="E1175" s="6"/>
      <c r="F1175" s="6"/>
      <c r="G1175" s="6"/>
    </row>
    <row r="1176" customHeight="1" spans="1:7">
      <c r="A1176" s="6"/>
      <c r="B1176" s="6"/>
      <c r="C1176" s="6"/>
      <c r="D1176" s="6"/>
      <c r="E1176" s="6"/>
      <c r="F1176" s="6"/>
      <c r="G1176" s="6"/>
    </row>
    <row r="1177" customHeight="1" spans="1:7">
      <c r="A1177" s="6"/>
      <c r="B1177" s="6"/>
      <c r="C1177" s="6"/>
      <c r="D1177" s="6"/>
      <c r="E1177" s="6"/>
      <c r="F1177" s="6"/>
      <c r="G1177" s="6"/>
    </row>
    <row r="1178" customHeight="1" spans="1:7">
      <c r="A1178" s="6"/>
      <c r="B1178" s="6"/>
      <c r="C1178" s="6"/>
      <c r="D1178" s="6"/>
      <c r="E1178" s="6"/>
      <c r="F1178" s="6"/>
      <c r="G1178" s="6"/>
    </row>
    <row r="1179" customHeight="1" spans="1:7">
      <c r="A1179" s="6"/>
      <c r="B1179" s="6"/>
      <c r="C1179" s="6"/>
      <c r="D1179" s="6"/>
      <c r="E1179" s="6"/>
      <c r="F1179" s="6"/>
      <c r="G1179" s="6"/>
    </row>
    <row r="1180" customHeight="1" spans="1:7">
      <c r="A1180" s="6"/>
      <c r="B1180" s="6"/>
      <c r="C1180" s="6"/>
      <c r="D1180" s="6"/>
      <c r="E1180" s="6"/>
      <c r="F1180" s="6"/>
      <c r="G1180" s="6"/>
    </row>
    <row r="1181" customHeight="1" spans="1:7">
      <c r="A1181" s="6"/>
      <c r="B1181" s="6"/>
      <c r="C1181" s="6"/>
      <c r="D1181" s="6"/>
      <c r="E1181" s="6"/>
      <c r="F1181" s="6"/>
      <c r="G1181" s="6"/>
    </row>
    <row r="1182" customHeight="1" spans="1:7">
      <c r="A1182" s="6"/>
      <c r="B1182" s="6"/>
      <c r="C1182" s="6"/>
      <c r="D1182" s="6"/>
      <c r="E1182" s="6"/>
      <c r="F1182" s="6"/>
      <c r="G1182" s="6"/>
    </row>
    <row r="1183" customHeight="1" spans="1:7">
      <c r="A1183" s="6"/>
      <c r="B1183" s="6"/>
      <c r="C1183" s="6"/>
      <c r="D1183" s="6"/>
      <c r="E1183" s="6"/>
      <c r="F1183" s="6"/>
      <c r="G1183" s="6"/>
    </row>
    <row r="1184" customHeight="1" spans="1:7">
      <c r="A1184" s="6"/>
      <c r="B1184" s="6"/>
      <c r="C1184" s="6"/>
      <c r="D1184" s="6"/>
      <c r="E1184" s="6"/>
      <c r="F1184" s="6"/>
      <c r="G1184" s="6"/>
    </row>
    <row r="1185" customHeight="1" spans="1:7">
      <c r="A1185" s="6"/>
      <c r="B1185" s="6"/>
      <c r="C1185" s="6"/>
      <c r="D1185" s="6"/>
      <c r="E1185" s="6"/>
      <c r="F1185" s="6"/>
      <c r="G1185" s="6"/>
    </row>
    <row r="1186" customHeight="1" spans="1:7">
      <c r="A1186" s="6"/>
      <c r="B1186" s="6"/>
      <c r="C1186" s="6"/>
      <c r="D1186" s="6"/>
      <c r="E1186" s="6"/>
      <c r="F1186" s="6"/>
      <c r="G1186" s="6"/>
    </row>
    <row r="1187" customHeight="1" spans="1:7">
      <c r="A1187" s="6"/>
      <c r="B1187" s="6"/>
      <c r="C1187" s="6"/>
      <c r="D1187" s="6"/>
      <c r="E1187" s="6"/>
      <c r="F1187" s="6"/>
      <c r="G1187" s="6"/>
    </row>
    <row r="1188" customHeight="1" spans="1:7">
      <c r="A1188" s="6"/>
      <c r="B1188" s="6"/>
      <c r="C1188" s="6"/>
      <c r="D1188" s="6"/>
      <c r="E1188" s="6"/>
      <c r="F1188" s="6"/>
      <c r="G1188" s="6"/>
    </row>
    <row r="1189" customHeight="1" spans="1:7">
      <c r="A1189" s="6"/>
      <c r="B1189" s="6"/>
      <c r="C1189" s="6"/>
      <c r="D1189" s="6"/>
      <c r="E1189" s="6"/>
      <c r="F1189" s="6"/>
      <c r="G1189" s="6"/>
    </row>
    <row r="1190" customHeight="1" spans="1:7">
      <c r="A1190" s="6"/>
      <c r="B1190" s="6"/>
      <c r="C1190" s="6"/>
      <c r="D1190" s="6"/>
      <c r="E1190" s="6"/>
      <c r="F1190" s="6"/>
      <c r="G1190" s="6"/>
    </row>
    <row r="1191" customHeight="1" spans="1:7">
      <c r="A1191" s="6"/>
      <c r="B1191" s="6"/>
      <c r="C1191" s="6"/>
      <c r="D1191" s="6"/>
      <c r="E1191" s="6"/>
      <c r="F1191" s="6"/>
      <c r="G1191" s="6"/>
    </row>
    <row r="1192" customHeight="1" spans="1:7">
      <c r="A1192" s="6"/>
      <c r="B1192" s="6"/>
      <c r="C1192" s="6"/>
      <c r="D1192" s="6"/>
      <c r="E1192" s="6"/>
      <c r="F1192" s="6"/>
      <c r="G1192" s="6"/>
    </row>
    <row r="1193" customHeight="1" spans="1:7">
      <c r="A1193" s="6"/>
      <c r="B1193" s="6"/>
      <c r="C1193" s="6"/>
      <c r="D1193" s="6"/>
      <c r="E1193" s="6"/>
      <c r="F1193" s="6"/>
      <c r="G1193" s="6"/>
    </row>
    <row r="1194" customHeight="1" spans="1:7">
      <c r="A1194" s="6"/>
      <c r="B1194" s="6"/>
      <c r="C1194" s="6"/>
      <c r="D1194" s="6"/>
      <c r="E1194" s="6"/>
      <c r="F1194" s="6"/>
      <c r="G1194" s="6"/>
    </row>
    <row r="1195" customHeight="1" spans="1:7">
      <c r="A1195" s="6"/>
      <c r="B1195" s="6"/>
      <c r="C1195" s="6"/>
      <c r="D1195" s="6"/>
      <c r="E1195" s="6"/>
      <c r="F1195" s="6"/>
      <c r="G1195" s="6"/>
    </row>
    <row r="1196" customHeight="1" spans="1:7">
      <c r="A1196" s="6"/>
      <c r="B1196" s="6"/>
      <c r="C1196" s="6"/>
      <c r="D1196" s="6"/>
      <c r="E1196" s="6"/>
      <c r="F1196" s="6"/>
      <c r="G1196" s="6"/>
    </row>
    <row r="1197" customHeight="1" spans="1:7">
      <c r="A1197" s="6"/>
      <c r="B1197" s="6"/>
      <c r="C1197" s="6"/>
      <c r="D1197" s="6"/>
      <c r="E1197" s="6"/>
      <c r="F1197" s="6"/>
      <c r="G1197" s="6"/>
    </row>
    <row r="1198" customHeight="1" spans="1:7">
      <c r="A1198" s="6"/>
      <c r="B1198" s="6"/>
      <c r="C1198" s="6"/>
      <c r="D1198" s="6"/>
      <c r="E1198" s="6"/>
      <c r="F1198" s="6"/>
      <c r="G1198" s="6"/>
    </row>
    <row r="1199" customHeight="1" spans="1:7">
      <c r="A1199" s="6"/>
      <c r="B1199" s="6"/>
      <c r="C1199" s="6"/>
      <c r="D1199" s="6"/>
      <c r="E1199" s="6"/>
      <c r="F1199" s="6"/>
      <c r="G1199" s="6"/>
    </row>
    <row r="1200" customHeight="1" spans="1:7">
      <c r="A1200" s="6"/>
      <c r="B1200" s="6"/>
      <c r="C1200" s="6"/>
      <c r="D1200" s="6"/>
      <c r="E1200" s="6"/>
      <c r="F1200" s="6"/>
      <c r="G1200" s="6"/>
    </row>
    <row r="1201" customHeight="1" spans="1:7">
      <c r="A1201" s="6"/>
      <c r="B1201" s="6"/>
      <c r="C1201" s="6"/>
      <c r="D1201" s="6"/>
      <c r="E1201" s="6"/>
      <c r="F1201" s="6"/>
      <c r="G1201" s="6"/>
    </row>
  </sheetData>
  <mergeCells count="2">
    <mergeCell ref="A1:G1"/>
    <mergeCell ref="L5:R5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2020-06-01T06:36:00Z</dcterms:created>
  <dcterms:modified xsi:type="dcterms:W3CDTF">2022-12-13T07:47:46Z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3CAB18A6C6174EE6937EACF6BD2B9B54</vt:lpwstr>
  </property>
</Properties>
</file>