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-45" yWindow="0" windowWidth="15480" windowHeight="5670"/>
  </bookViews>
  <sheets>
    <sheet name="邮储" sheetId="4" r:id="rId1"/>
    <sheet name="农商行" sheetId="2" r:id="rId2"/>
    <sheet name="Sheet3" sheetId="3" r:id="rId3"/>
  </sheets>
  <calcPr calcId="114210" fullPrecision="0"/>
</workbook>
</file>

<file path=xl/calcChain.xml><?xml version="1.0" encoding="utf-8"?>
<calcChain xmlns="http://schemas.openxmlformats.org/spreadsheetml/2006/main">
  <c r="C21" i="4"/>
  <c r="H5"/>
  <c r="J5"/>
  <c r="N5"/>
  <c r="N6"/>
  <c r="N7"/>
  <c r="H8"/>
  <c r="J8"/>
  <c r="N8"/>
  <c r="H9"/>
  <c r="J9"/>
  <c r="N9"/>
  <c r="H10"/>
  <c r="J10"/>
  <c r="N10"/>
  <c r="H11"/>
  <c r="J11"/>
  <c r="N11"/>
  <c r="H12"/>
  <c r="J12"/>
  <c r="N12"/>
  <c r="H13"/>
  <c r="J13"/>
  <c r="N13"/>
  <c r="H14"/>
  <c r="J14"/>
  <c r="N14"/>
  <c r="H15"/>
  <c r="J15"/>
  <c r="N15"/>
  <c r="H16"/>
  <c r="J16"/>
  <c r="N16"/>
  <c r="H17"/>
  <c r="J17"/>
  <c r="N17"/>
  <c r="N21"/>
  <c r="M5"/>
  <c r="M6"/>
  <c r="M7"/>
  <c r="M8"/>
  <c r="M9"/>
  <c r="M10"/>
  <c r="M11"/>
  <c r="M12"/>
  <c r="M13"/>
  <c r="M14"/>
  <c r="M15"/>
  <c r="M16"/>
  <c r="M17"/>
  <c r="M21"/>
  <c r="L5"/>
  <c r="L6"/>
  <c r="L7"/>
  <c r="L8"/>
  <c r="L9"/>
  <c r="L10"/>
  <c r="L11"/>
  <c r="L12"/>
  <c r="L13"/>
  <c r="L14"/>
  <c r="L15"/>
  <c r="L16"/>
  <c r="L17"/>
  <c r="L21"/>
  <c r="K21"/>
  <c r="H6"/>
  <c r="J6"/>
  <c r="H7"/>
  <c r="J7"/>
  <c r="J21"/>
  <c r="H20"/>
  <c r="J20"/>
  <c r="N20"/>
  <c r="M20"/>
  <c r="L20"/>
  <c r="K20"/>
  <c r="H19"/>
  <c r="J19"/>
  <c r="N19"/>
  <c r="M19"/>
  <c r="L19"/>
  <c r="K19"/>
  <c r="H18"/>
  <c r="J18"/>
  <c r="N18"/>
  <c r="M18"/>
  <c r="L18"/>
  <c r="K18"/>
  <c r="K17"/>
  <c r="K16"/>
  <c r="K15"/>
  <c r="K14"/>
  <c r="K13"/>
  <c r="K12"/>
  <c r="K11"/>
  <c r="K10"/>
  <c r="K9"/>
  <c r="K8"/>
  <c r="K7"/>
  <c r="K6"/>
  <c r="K5"/>
  <c r="I6" i="2"/>
  <c r="M6"/>
  <c r="I7"/>
  <c r="M7"/>
  <c r="I8"/>
  <c r="M8"/>
  <c r="I9"/>
  <c r="M9"/>
  <c r="I10"/>
  <c r="M10"/>
  <c r="I11"/>
  <c r="M11"/>
  <c r="I12"/>
  <c r="M12"/>
  <c r="I13"/>
  <c r="M13"/>
  <c r="I14"/>
  <c r="M14"/>
  <c r="I15"/>
  <c r="M15"/>
  <c r="I16"/>
  <c r="M16"/>
  <c r="I17"/>
  <c r="M17"/>
  <c r="I18"/>
  <c r="M18"/>
  <c r="I19"/>
  <c r="M19"/>
  <c r="I20"/>
  <c r="M20"/>
  <c r="I21"/>
  <c r="M21"/>
  <c r="I22"/>
  <c r="M22"/>
  <c r="I23"/>
  <c r="M23"/>
  <c r="M24"/>
  <c r="L6"/>
  <c r="L7"/>
  <c r="L8"/>
  <c r="L9"/>
  <c r="L10"/>
  <c r="L11"/>
  <c r="L12"/>
  <c r="L13"/>
  <c r="L14"/>
  <c r="L16"/>
  <c r="L17"/>
  <c r="L18"/>
  <c r="L19"/>
  <c r="L21"/>
  <c r="L22"/>
  <c r="L23"/>
  <c r="L24"/>
  <c r="K6"/>
  <c r="K7"/>
  <c r="K8"/>
  <c r="K9"/>
  <c r="K10"/>
  <c r="K11"/>
  <c r="K12"/>
  <c r="K13"/>
  <c r="K14"/>
  <c r="K15"/>
  <c r="K16"/>
  <c r="K17"/>
  <c r="K18"/>
  <c r="K19"/>
  <c r="K21"/>
  <c r="K22"/>
  <c r="K23"/>
  <c r="K24"/>
  <c r="J24"/>
  <c r="I24"/>
  <c r="D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  <c r="L20" i="3"/>
  <c r="J19"/>
  <c r="L19"/>
  <c r="L10"/>
  <c r="L11"/>
  <c r="L12"/>
  <c r="L13"/>
  <c r="J14"/>
  <c r="L14"/>
  <c r="L15"/>
  <c r="L16"/>
  <c r="L17"/>
  <c r="L18"/>
  <c r="L7"/>
  <c r="L8"/>
  <c r="L9"/>
  <c r="L6"/>
  <c r="L5"/>
  <c r="J5"/>
  <c r="J6"/>
  <c r="J7"/>
  <c r="J8"/>
  <c r="J9"/>
  <c r="J10"/>
  <c r="J11"/>
  <c r="J12"/>
  <c r="J13"/>
  <c r="J15"/>
  <c r="J16"/>
  <c r="J17"/>
  <c r="J18"/>
  <c r="J20"/>
  <c r="N5"/>
  <c r="N6"/>
  <c r="N7"/>
  <c r="N20"/>
  <c r="N21"/>
  <c r="M5"/>
  <c r="M6"/>
  <c r="M7"/>
  <c r="M20"/>
  <c r="M21"/>
  <c r="L21"/>
</calcChain>
</file>

<file path=xl/sharedStrings.xml><?xml version="1.0" encoding="utf-8"?>
<sst xmlns="http://schemas.openxmlformats.org/spreadsheetml/2006/main" count="174" uniqueCount="89">
  <si>
    <t>贷款金额</t>
  </si>
  <si>
    <t>发放日期</t>
  </si>
  <si>
    <t>申报单位(盖章):</t>
    <phoneticPr fontId="3" type="noConversion"/>
  </si>
  <si>
    <t>单位：元</t>
    <phoneticPr fontId="3" type="noConversion"/>
  </si>
  <si>
    <t>贺芝元</t>
  </si>
  <si>
    <t>谭烨</t>
  </si>
  <si>
    <t>周玲</t>
  </si>
  <si>
    <t>程建平</t>
  </si>
  <si>
    <t>彭瑛</t>
  </si>
  <si>
    <t>张湧</t>
    <rPh sb="0" eb="2">
      <t>zhang'yong</t>
    </rPh>
    <phoneticPr fontId="3" type="noConversion"/>
  </si>
  <si>
    <t>余磊</t>
  </si>
  <si>
    <t>李昊</t>
  </si>
  <si>
    <t>创业担保贷款应付贴息明细表</t>
  </si>
  <si>
    <r>
      <t>利息计算：应付利息=借款金额×利率÷36</t>
    </r>
    <r>
      <rPr>
        <sz val="12"/>
        <rFont val="宋体"/>
        <charset val="134"/>
      </rPr>
      <t>0</t>
    </r>
    <r>
      <rPr>
        <sz val="12"/>
        <rFont val="宋体"/>
        <charset val="134"/>
      </rPr>
      <t>×总天数</t>
    </r>
    <phoneticPr fontId="3" type="noConversion"/>
  </si>
  <si>
    <t xml:space="preserve">制表单位:长沙市天心区就业服务中心                                                                                                                                                                                            </t>
    <phoneticPr fontId="3" type="noConversion"/>
  </si>
  <si>
    <t>单位：元</t>
  </si>
  <si>
    <t>编号</t>
  </si>
  <si>
    <t>姓名</t>
  </si>
  <si>
    <t>贷款金额（元）</t>
  </si>
  <si>
    <t>是否贴息</t>
  </si>
  <si>
    <t>发放时间</t>
  </si>
  <si>
    <t>还款期限</t>
  </si>
  <si>
    <t>还款时间</t>
  </si>
  <si>
    <t>起息日期</t>
  </si>
  <si>
    <t>结息日期</t>
  </si>
  <si>
    <t>总天数</t>
  </si>
  <si>
    <t>贴息年利率（%）</t>
  </si>
  <si>
    <t>利息金额（元）</t>
  </si>
  <si>
    <t>区财政贴息金额
（元）</t>
  </si>
  <si>
    <t>市财政贴息金额
（元）</t>
  </si>
  <si>
    <t>是</t>
  </si>
  <si>
    <t>合计</t>
  </si>
  <si>
    <t>单位负责人签章：黄英</t>
    <phoneticPr fontId="3" type="noConversion"/>
  </si>
  <si>
    <t xml:space="preserve">               制表人签章：许丹</t>
    <phoneticPr fontId="3" type="noConversion"/>
  </si>
  <si>
    <t xml:space="preserve">                                日期：2019年10月10日</t>
  </si>
  <si>
    <t>2020年1-2季度天心区创业担保贷款财政贴息资金核算表</t>
    <phoneticPr fontId="3" type="noConversion"/>
  </si>
  <si>
    <t xml:space="preserve"> 本人支付
利息金额 </t>
    <phoneticPr fontId="3" type="noConversion"/>
  </si>
  <si>
    <t>按政策支付
贴息金额
(银行付款）</t>
    <phoneticPr fontId="3" type="noConversion"/>
  </si>
  <si>
    <t xml:space="preserve"> 贴息中央政策中央承担 </t>
    <phoneticPr fontId="3" type="noConversion"/>
  </si>
  <si>
    <t xml:space="preserve"> 贴息中央政策省级承担 </t>
    <phoneticPr fontId="3" type="noConversion"/>
  </si>
  <si>
    <t xml:space="preserve"> 贴息中央政策地方承担 </t>
    <phoneticPr fontId="3" type="noConversion"/>
  </si>
  <si>
    <t>苏风华</t>
    <phoneticPr fontId="3" type="noConversion"/>
  </si>
  <si>
    <t>个人</t>
    <phoneticPr fontId="3" type="noConversion"/>
  </si>
  <si>
    <t>熊顺然</t>
    <phoneticPr fontId="3" type="noConversion"/>
  </si>
  <si>
    <t>陈婷</t>
    <phoneticPr fontId="3" type="noConversion"/>
  </si>
  <si>
    <t>丁俊</t>
    <phoneticPr fontId="3" type="noConversion"/>
  </si>
  <si>
    <t>陈文学</t>
    <phoneticPr fontId="3" type="noConversion"/>
  </si>
  <si>
    <t>刘金斗</t>
    <phoneticPr fontId="3" type="noConversion"/>
  </si>
  <si>
    <t>龙琴</t>
    <phoneticPr fontId="3" type="noConversion"/>
  </si>
  <si>
    <t>刘梦玲</t>
    <phoneticPr fontId="3" type="noConversion"/>
  </si>
  <si>
    <t>石爱君</t>
    <phoneticPr fontId="3" type="noConversion"/>
  </si>
  <si>
    <t>吴倩恒</t>
    <phoneticPr fontId="3" type="noConversion"/>
  </si>
  <si>
    <t>廖婷</t>
    <phoneticPr fontId="3" type="noConversion"/>
  </si>
  <si>
    <t>合计</t>
    <phoneticPr fontId="3" type="noConversion"/>
  </si>
  <si>
    <t>审核部门</t>
    <phoneticPr fontId="3" type="noConversion"/>
  </si>
  <si>
    <t>长沙市天心区小额贷款担保中心（盖章）</t>
    <phoneticPr fontId="3" type="noConversion"/>
  </si>
  <si>
    <t>财政部门（盖章）</t>
    <phoneticPr fontId="3" type="noConversion"/>
  </si>
  <si>
    <t xml:space="preserve">    年   月   日</t>
    <phoneticPr fontId="3" type="noConversion"/>
  </si>
  <si>
    <t>银行负责人：</t>
    <phoneticPr fontId="3" type="noConversion"/>
  </si>
  <si>
    <t>银行核对:</t>
    <phoneticPr fontId="3" type="noConversion"/>
  </si>
  <si>
    <t>分管局长:</t>
    <phoneticPr fontId="3" type="noConversion"/>
  </si>
  <si>
    <t>科室负责人:</t>
    <phoneticPr fontId="3" type="noConversion"/>
  </si>
  <si>
    <t>制表人:</t>
    <phoneticPr fontId="3" type="noConversion"/>
  </si>
  <si>
    <t>附件：</t>
    <phoneticPr fontId="3" type="noConversion"/>
  </si>
  <si>
    <t>2020年1-2季度天心区创业担保贷款财政贴息资金核算表</t>
    <phoneticPr fontId="3" type="noConversion"/>
  </si>
  <si>
    <t>申报单位(盖章):</t>
    <phoneticPr fontId="3" type="noConversion"/>
  </si>
  <si>
    <r>
      <t>填报日期:</t>
    </r>
    <r>
      <rPr>
        <sz val="12"/>
        <rFont val="宋体"/>
        <charset val="134"/>
      </rPr>
      <t>2020年6月30日</t>
    </r>
    <phoneticPr fontId="3" type="noConversion"/>
  </si>
  <si>
    <t>单位：元</t>
    <phoneticPr fontId="3" type="noConversion"/>
  </si>
  <si>
    <t>编号</t>
    <phoneticPr fontId="3" type="noConversion"/>
  </si>
  <si>
    <t>姓名</t>
    <phoneticPr fontId="3" type="noConversion"/>
  </si>
  <si>
    <t>项目类型</t>
    <phoneticPr fontId="3" type="noConversion"/>
  </si>
  <si>
    <t>贴息月利率(‰)</t>
    <phoneticPr fontId="3" type="noConversion"/>
  </si>
  <si>
    <t>还款日期</t>
    <phoneticPr fontId="3" type="noConversion"/>
  </si>
  <si>
    <t>天数</t>
    <phoneticPr fontId="3" type="noConversion"/>
  </si>
  <si>
    <t>利息计算：应付利息=借款金额×利率÷365×总天数</t>
    <phoneticPr fontId="3" type="noConversion"/>
  </si>
  <si>
    <t>填报日期:</t>
    <phoneticPr fontId="3" type="noConversion"/>
  </si>
  <si>
    <t>贴息金额</t>
    <phoneticPr fontId="3" type="noConversion"/>
  </si>
  <si>
    <t xml:space="preserve"> 贴息中央政策中央承担50%</t>
    <phoneticPr fontId="3" type="noConversion"/>
  </si>
  <si>
    <t xml:space="preserve"> 贴息中央政策省级承担 5%</t>
    <phoneticPr fontId="3" type="noConversion"/>
  </si>
  <si>
    <t xml:space="preserve"> 贴息中央政策地方承担 45%</t>
    <phoneticPr fontId="3" type="noConversion"/>
  </si>
  <si>
    <t>刘红键</t>
    <phoneticPr fontId="3" type="noConversion"/>
  </si>
  <si>
    <t>缪卫平</t>
    <phoneticPr fontId="3" type="noConversion"/>
  </si>
  <si>
    <t>唐花</t>
    <phoneticPr fontId="3" type="noConversion"/>
  </si>
  <si>
    <t>唐汝霞</t>
    <phoneticPr fontId="3" type="noConversion"/>
  </si>
  <si>
    <t>左祥</t>
    <phoneticPr fontId="3" type="noConversion"/>
  </si>
  <si>
    <t>高贵英</t>
    <phoneticPr fontId="3" type="noConversion"/>
  </si>
  <si>
    <t>单位负责人签章：</t>
    <phoneticPr fontId="3" type="noConversion"/>
  </si>
  <si>
    <t xml:space="preserve">               制表人签章：</t>
    <phoneticPr fontId="3" type="noConversion"/>
  </si>
  <si>
    <t xml:space="preserve">                                日期：2020年6月29日</t>
    <phoneticPr fontId="3" type="noConversion"/>
  </si>
</sst>
</file>

<file path=xl/styles.xml><?xml version="1.0" encoding="utf-8"?>
<styleSheet xmlns="http://schemas.openxmlformats.org/spreadsheetml/2006/main">
  <numFmts count="4">
    <numFmt numFmtId="176" formatCode="0_);[Red]\(0\)"/>
    <numFmt numFmtId="177" formatCode="0.00_);[Red]\(0.00\)"/>
    <numFmt numFmtId="178" formatCode="0.00_ "/>
    <numFmt numFmtId="179" formatCode="0;[Red]0"/>
  </numFmts>
  <fonts count="27"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黑体"/>
      <charset val="134"/>
    </font>
    <font>
      <sz val="14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9"/>
      <color indexed="10"/>
      <name val="宋体"/>
      <charset val="134"/>
    </font>
    <font>
      <sz val="11"/>
      <color indexed="8"/>
      <name val="宋体"/>
      <charset val="134"/>
    </font>
    <font>
      <sz val="9"/>
      <color indexed="10"/>
      <name val="宋体"/>
      <charset val="134"/>
    </font>
    <font>
      <b/>
      <sz val="20"/>
      <name val="宋体"/>
      <charset val="134"/>
    </font>
    <font>
      <sz val="12"/>
      <name val="Times New Roman"/>
      <family val="1"/>
    </font>
    <font>
      <sz val="10"/>
      <color indexed="8"/>
      <name val="仿宋_GB2312"/>
      <family val="3"/>
      <charset val="134"/>
    </font>
    <font>
      <sz val="11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sz val="9"/>
      <name val="Times New Roman"/>
      <family val="1"/>
    </font>
    <font>
      <sz val="8"/>
      <name val="黑体"/>
      <charset val="134"/>
    </font>
    <font>
      <sz val="9"/>
      <name val="黑体"/>
      <charset val="134"/>
    </font>
    <font>
      <sz val="9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8"/>
      <color indexed="8"/>
      <name val="仿宋_GB2312"/>
      <family val="3"/>
      <charset val="134"/>
    </font>
    <font>
      <sz val="8"/>
      <name val="仿宋_GB2312"/>
      <family val="3"/>
      <charset val="134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right" vertical="center" shrinkToFit="1"/>
    </xf>
    <xf numFmtId="4" fontId="8" fillId="2" borderId="3" xfId="0" applyNumberFormat="1" applyFont="1" applyFill="1" applyBorder="1" applyAlignment="1">
      <alignment horizontal="right" vertical="center" shrinkToFit="1"/>
    </xf>
    <xf numFmtId="0" fontId="8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7" fontId="0" fillId="0" borderId="0" xfId="0" applyNumberFormat="1"/>
    <xf numFmtId="177" fontId="9" fillId="0" borderId="0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6" fillId="0" borderId="5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2" borderId="0" xfId="0" applyFill="1"/>
    <xf numFmtId="177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8" fillId="2" borderId="7" xfId="0" applyNumberFormat="1" applyFont="1" applyFill="1" applyBorder="1" applyAlignment="1">
      <alignment horizontal="right" vertical="center" shrinkToFit="1"/>
    </xf>
    <xf numFmtId="4" fontId="8" fillId="2" borderId="8" xfId="0" applyNumberFormat="1" applyFont="1" applyFill="1" applyBorder="1" applyAlignment="1">
      <alignment horizontal="right" vertical="center" shrinkToFit="1"/>
    </xf>
    <xf numFmtId="14" fontId="12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77" fontId="15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177" fontId="14" fillId="0" borderId="0" xfId="0" applyNumberFormat="1" applyFont="1"/>
    <xf numFmtId="178" fontId="14" fillId="0" borderId="0" xfId="0" applyNumberFormat="1" applyFont="1"/>
    <xf numFmtId="0" fontId="11" fillId="0" borderId="1" xfId="0" applyFont="1" applyBorder="1" applyAlignment="1">
      <alignment horizontal="center" vertical="center" shrinkToFit="1"/>
    </xf>
    <xf numFmtId="14" fontId="2" fillId="4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1" fillId="2" borderId="1" xfId="0" applyFont="1" applyFill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14" fontId="1" fillId="4" borderId="1" xfId="0" applyNumberFormat="1" applyFont="1" applyFill="1" applyBorder="1" applyAlignment="1">
      <alignment horizontal="left" vertical="center"/>
    </xf>
    <xf numFmtId="14" fontId="1" fillId="4" borderId="10" xfId="0" applyNumberFormat="1" applyFont="1" applyFill="1" applyBorder="1" applyAlignment="1">
      <alignment horizontal="left" vertical="center"/>
    </xf>
    <xf numFmtId="177" fontId="8" fillId="4" borderId="1" xfId="0" applyNumberFormat="1" applyFont="1" applyFill="1" applyBorder="1" applyAlignment="1">
      <alignment vertical="center"/>
    </xf>
    <xf numFmtId="14" fontId="1" fillId="4" borderId="1" xfId="0" applyNumberFormat="1" applyFont="1" applyFill="1" applyBorder="1" applyAlignment="1">
      <alignment vertical="center"/>
    </xf>
    <xf numFmtId="0" fontId="19" fillId="0" borderId="0" xfId="0" applyFont="1"/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177" fontId="3" fillId="0" borderId="0" xfId="0" applyNumberFormat="1" applyFont="1"/>
    <xf numFmtId="0" fontId="3" fillId="0" borderId="0" xfId="0" applyFont="1"/>
    <xf numFmtId="0" fontId="17" fillId="0" borderId="0" xfId="0" applyFont="1" applyBorder="1" applyAlignment="1">
      <alignment horizontal="center" vertical="center"/>
    </xf>
    <xf numFmtId="31" fontId="17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177" fontId="17" fillId="0" borderId="0" xfId="0" applyNumberFormat="1" applyFont="1" applyBorder="1" applyAlignment="1">
      <alignment horizontal="center" vertical="center"/>
    </xf>
    <xf numFmtId="177" fontId="20" fillId="0" borderId="5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77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77" fontId="24" fillId="0" borderId="10" xfId="0" applyNumberFormat="1" applyFont="1" applyBorder="1" applyAlignment="1">
      <alignment horizontal="center" vertical="center" wrapText="1"/>
    </xf>
    <xf numFmtId="177" fontId="23" fillId="0" borderId="10" xfId="0" applyNumberFormat="1" applyFont="1" applyBorder="1" applyAlignment="1">
      <alignment horizontal="center" vertical="center" wrapText="1"/>
    </xf>
    <xf numFmtId="177" fontId="2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shrinkToFit="1"/>
    </xf>
    <xf numFmtId="4" fontId="23" fillId="2" borderId="7" xfId="0" applyNumberFormat="1" applyFont="1" applyFill="1" applyBorder="1" applyAlignment="1">
      <alignment horizontal="right" vertical="center" shrinkToFit="1"/>
    </xf>
    <xf numFmtId="0" fontId="23" fillId="2" borderId="1" xfId="0" applyFont="1" applyFill="1" applyBorder="1" applyAlignment="1">
      <alignment horizontal="center" vertical="center" wrapText="1"/>
    </xf>
    <xf numFmtId="14" fontId="24" fillId="2" borderId="1" xfId="0" applyNumberFormat="1" applyFont="1" applyFill="1" applyBorder="1" applyAlignment="1">
      <alignment horizontal="center" vertical="center"/>
    </xf>
    <xf numFmtId="179" fontId="25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177" fontId="22" fillId="0" borderId="2" xfId="0" applyNumberFormat="1" applyFont="1" applyBorder="1" applyAlignment="1">
      <alignment horizontal="center" vertical="center" wrapText="1"/>
    </xf>
    <xf numFmtId="177" fontId="22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right" vertical="center" shrinkToFit="1"/>
    </xf>
    <xf numFmtId="0" fontId="23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6" fillId="0" borderId="0" xfId="0" applyFont="1"/>
    <xf numFmtId="0" fontId="26" fillId="0" borderId="0" xfId="0" applyFont="1" applyAlignment="1">
      <alignment horizontal="center"/>
    </xf>
    <xf numFmtId="177" fontId="26" fillId="0" borderId="0" xfId="0" applyNumberFormat="1" applyFont="1"/>
    <xf numFmtId="177" fontId="19" fillId="0" borderId="0" xfId="0" applyNumberFormat="1" applyFont="1"/>
    <xf numFmtId="178" fontId="19" fillId="0" borderId="0" xfId="0" applyNumberFormat="1" applyFont="1"/>
    <xf numFmtId="0" fontId="23" fillId="0" borderId="10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1" fillId="4" borderId="10" xfId="0" applyNumberFormat="1" applyFont="1" applyFill="1" applyBorder="1" applyAlignment="1">
      <alignment horizontal="center" vertical="center"/>
    </xf>
    <xf numFmtId="14" fontId="1" fillId="4" borderId="1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K8" sqref="K8"/>
    </sheetView>
  </sheetViews>
  <sheetFormatPr defaultRowHeight="12"/>
  <cols>
    <col min="1" max="1" width="3.125" style="65" customWidth="1"/>
    <col min="2" max="2" width="5.625" style="65" customWidth="1"/>
    <col min="3" max="3" width="9.375" style="102" customWidth="1"/>
    <col min="4" max="4" width="3.75" style="65" customWidth="1"/>
    <col min="5" max="7" width="8.5" style="103" customWidth="1"/>
    <col min="8" max="8" width="4" style="103" customWidth="1"/>
    <col min="9" max="9" width="5.75" style="104" customWidth="1"/>
    <col min="10" max="10" width="8.375" style="105" customWidth="1"/>
    <col min="11" max="11" width="7.5" style="106" customWidth="1"/>
    <col min="12" max="12" width="8.375" style="107" customWidth="1"/>
    <col min="13" max="13" width="6.75" style="65" customWidth="1"/>
    <col min="14" max="14" width="7.875" style="106" customWidth="1"/>
    <col min="15" max="16384" width="9" style="65"/>
  </cols>
  <sheetData>
    <row r="1" spans="1:14" ht="36" customHeight="1">
      <c r="A1" s="112" t="s">
        <v>35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s="70" customFormat="1" ht="15" customHeight="1">
      <c r="A2" s="113" t="s">
        <v>74</v>
      </c>
      <c r="B2" s="113"/>
      <c r="C2" s="113"/>
      <c r="D2" s="113"/>
      <c r="E2" s="113"/>
      <c r="F2" s="113"/>
      <c r="G2" s="113"/>
      <c r="H2" s="67"/>
      <c r="I2" s="68"/>
      <c r="J2" s="67"/>
      <c r="K2" s="66"/>
      <c r="L2" s="66"/>
      <c r="M2" s="66"/>
      <c r="N2" s="69"/>
    </row>
    <row r="3" spans="1:14" s="81" customFormat="1" ht="15" customHeight="1">
      <c r="A3" s="114" t="s">
        <v>2</v>
      </c>
      <c r="B3" s="114"/>
      <c r="C3" s="115"/>
      <c r="D3" s="115"/>
      <c r="E3" s="71" t="s">
        <v>75</v>
      </c>
      <c r="F3" s="72"/>
      <c r="G3" s="73"/>
      <c r="H3" s="74"/>
      <c r="I3" s="75"/>
      <c r="J3" s="76"/>
      <c r="K3" s="77"/>
      <c r="L3" s="78" t="s">
        <v>3</v>
      </c>
      <c r="M3" s="79"/>
      <c r="N3" s="80"/>
    </row>
    <row r="4" spans="1:14" s="88" customFormat="1" ht="32.25" customHeight="1">
      <c r="A4" s="82" t="s">
        <v>16</v>
      </c>
      <c r="B4" s="83" t="s">
        <v>17</v>
      </c>
      <c r="C4" s="83" t="s">
        <v>18</v>
      </c>
      <c r="D4" s="83" t="s">
        <v>19</v>
      </c>
      <c r="E4" s="84" t="s">
        <v>20</v>
      </c>
      <c r="F4" s="84" t="s">
        <v>23</v>
      </c>
      <c r="G4" s="84" t="s">
        <v>24</v>
      </c>
      <c r="H4" s="84" t="s">
        <v>25</v>
      </c>
      <c r="I4" s="84" t="s">
        <v>26</v>
      </c>
      <c r="J4" s="85" t="s">
        <v>27</v>
      </c>
      <c r="K4" s="86" t="s">
        <v>76</v>
      </c>
      <c r="L4" s="87" t="s">
        <v>77</v>
      </c>
      <c r="M4" s="87" t="s">
        <v>78</v>
      </c>
      <c r="N4" s="87" t="s">
        <v>79</v>
      </c>
    </row>
    <row r="5" spans="1:14" s="98" customFormat="1" ht="22.5" customHeight="1">
      <c r="A5" s="89">
        <v>1</v>
      </c>
      <c r="B5" s="90" t="s">
        <v>80</v>
      </c>
      <c r="C5" s="91">
        <v>100000</v>
      </c>
      <c r="D5" s="92" t="s">
        <v>30</v>
      </c>
      <c r="E5" s="93">
        <v>43031</v>
      </c>
      <c r="F5" s="93">
        <v>43031</v>
      </c>
      <c r="G5" s="93">
        <v>43396</v>
      </c>
      <c r="H5" s="94">
        <f>G5-F5</f>
        <v>365</v>
      </c>
      <c r="I5" s="95">
        <v>5.7</v>
      </c>
      <c r="J5" s="87">
        <f t="shared" ref="J5:J20" si="0">C5*I5%/365*H5</f>
        <v>5700</v>
      </c>
      <c r="K5" s="96">
        <f>L5+M5+N5</f>
        <v>5700</v>
      </c>
      <c r="L5" s="96">
        <f>J5*50%</f>
        <v>2850</v>
      </c>
      <c r="M5" s="96">
        <f>J5*5%</f>
        <v>285</v>
      </c>
      <c r="N5" s="97">
        <f>J5*45%</f>
        <v>2565</v>
      </c>
    </row>
    <row r="6" spans="1:14" s="98" customFormat="1" ht="22.5" customHeight="1">
      <c r="A6" s="89"/>
      <c r="B6" s="90" t="s">
        <v>80</v>
      </c>
      <c r="C6" s="91">
        <v>100000</v>
      </c>
      <c r="D6" s="92" t="s">
        <v>30</v>
      </c>
      <c r="E6" s="93">
        <v>43031</v>
      </c>
      <c r="F6" s="93">
        <v>43397</v>
      </c>
      <c r="G6" s="93">
        <v>43762</v>
      </c>
      <c r="H6" s="94">
        <f>G6-F6</f>
        <v>365</v>
      </c>
      <c r="I6" s="95">
        <v>5.7</v>
      </c>
      <c r="J6" s="87">
        <f t="shared" si="0"/>
        <v>5700</v>
      </c>
      <c r="K6" s="96">
        <f>L6+M6+N6</f>
        <v>3800</v>
      </c>
      <c r="L6" s="96">
        <f>5700*50%*2/3</f>
        <v>1900</v>
      </c>
      <c r="M6" s="96">
        <f>5700*5%*2/3</f>
        <v>190</v>
      </c>
      <c r="N6" s="97">
        <f>5700*45%*2/3</f>
        <v>1710</v>
      </c>
    </row>
    <row r="7" spans="1:14" s="98" customFormat="1" ht="22.5" customHeight="1">
      <c r="A7" s="89"/>
      <c r="B7" s="90" t="s">
        <v>80</v>
      </c>
      <c r="C7" s="91">
        <v>100000</v>
      </c>
      <c r="D7" s="92" t="s">
        <v>30</v>
      </c>
      <c r="E7" s="93">
        <v>43031</v>
      </c>
      <c r="F7" s="93">
        <v>43763</v>
      </c>
      <c r="G7" s="93">
        <v>43847</v>
      </c>
      <c r="H7" s="94">
        <f>G7-F7</f>
        <v>84</v>
      </c>
      <c r="I7" s="95">
        <v>5.7</v>
      </c>
      <c r="J7" s="87">
        <f t="shared" si="0"/>
        <v>1311.78</v>
      </c>
      <c r="K7" s="96">
        <f>L7+M7+N7</f>
        <v>437.26</v>
      </c>
      <c r="L7" s="96">
        <f>1311.78*50%*1/3</f>
        <v>218.63</v>
      </c>
      <c r="M7" s="96">
        <f>1311.78*5%*1/3</f>
        <v>21.86</v>
      </c>
      <c r="N7" s="97">
        <f>1311.78*45%*1/3</f>
        <v>196.77</v>
      </c>
    </row>
    <row r="8" spans="1:14" s="98" customFormat="1" ht="22.5" customHeight="1">
      <c r="A8" s="89">
        <v>2</v>
      </c>
      <c r="B8" s="90" t="s">
        <v>81</v>
      </c>
      <c r="C8" s="91">
        <v>100000</v>
      </c>
      <c r="D8" s="92" t="s">
        <v>30</v>
      </c>
      <c r="E8" s="93">
        <v>43062</v>
      </c>
      <c r="F8" s="93">
        <v>43062</v>
      </c>
      <c r="G8" s="93">
        <v>43427</v>
      </c>
      <c r="H8" s="94">
        <f>G8-F8</f>
        <v>365</v>
      </c>
      <c r="I8" s="95">
        <v>5.7</v>
      </c>
      <c r="J8" s="87">
        <f t="shared" si="0"/>
        <v>5700</v>
      </c>
      <c r="K8" s="96">
        <f>L8+M8+N8</f>
        <v>5700</v>
      </c>
      <c r="L8" s="96">
        <f>J8*50%</f>
        <v>2850</v>
      </c>
      <c r="M8" s="96">
        <f>J8*5%</f>
        <v>285</v>
      </c>
      <c r="N8" s="97">
        <f>J8*45%</f>
        <v>2565</v>
      </c>
    </row>
    <row r="9" spans="1:14" s="98" customFormat="1" ht="22.5" customHeight="1">
      <c r="A9" s="89"/>
      <c r="B9" s="90" t="s">
        <v>81</v>
      </c>
      <c r="C9" s="91">
        <v>100000</v>
      </c>
      <c r="D9" s="92" t="s">
        <v>30</v>
      </c>
      <c r="E9" s="93">
        <v>43062</v>
      </c>
      <c r="F9" s="93">
        <v>43428</v>
      </c>
      <c r="G9" s="93">
        <v>43792</v>
      </c>
      <c r="H9" s="94">
        <f>G9-F9</f>
        <v>364</v>
      </c>
      <c r="I9" s="95">
        <v>5.7</v>
      </c>
      <c r="J9" s="87">
        <f t="shared" si="0"/>
        <v>5684.38</v>
      </c>
      <c r="K9" s="96">
        <f>L9+M9+N9</f>
        <v>3789.58</v>
      </c>
      <c r="L9" s="97">
        <f>J9*50%*2/3</f>
        <v>1894.79</v>
      </c>
      <c r="M9" s="97">
        <f>J9*5%*2/3</f>
        <v>189.48</v>
      </c>
      <c r="N9" s="97">
        <f>J9*45%*2/3</f>
        <v>1705.31</v>
      </c>
    </row>
    <row r="10" spans="1:14" s="98" customFormat="1" ht="22.5" customHeight="1">
      <c r="A10" s="89">
        <v>3</v>
      </c>
      <c r="B10" s="90" t="s">
        <v>82</v>
      </c>
      <c r="C10" s="91">
        <v>100000</v>
      </c>
      <c r="D10" s="92" t="s">
        <v>30</v>
      </c>
      <c r="E10" s="93">
        <v>42874</v>
      </c>
      <c r="F10" s="93">
        <v>42874</v>
      </c>
      <c r="G10" s="93">
        <v>43239</v>
      </c>
      <c r="H10" s="94">
        <f t="shared" ref="H10:H20" si="1">G10-F10</f>
        <v>365</v>
      </c>
      <c r="I10" s="95">
        <v>5.7</v>
      </c>
      <c r="J10" s="87">
        <f t="shared" si="0"/>
        <v>5700</v>
      </c>
      <c r="K10" s="96">
        <f t="shared" ref="K10:K20" si="2">L10+M10+N10</f>
        <v>5700</v>
      </c>
      <c r="L10" s="97">
        <f>J10*50%</f>
        <v>2850</v>
      </c>
      <c r="M10" s="97">
        <f>J10*5%</f>
        <v>285</v>
      </c>
      <c r="N10" s="97">
        <f>J10*45%</f>
        <v>2565</v>
      </c>
    </row>
    <row r="11" spans="1:14" s="98" customFormat="1" ht="22.5" customHeight="1">
      <c r="A11" s="89"/>
      <c r="B11" s="90" t="s">
        <v>82</v>
      </c>
      <c r="C11" s="91">
        <v>100000</v>
      </c>
      <c r="D11" s="92" t="s">
        <v>30</v>
      </c>
      <c r="E11" s="93">
        <v>42874</v>
      </c>
      <c r="F11" s="93">
        <v>43240</v>
      </c>
      <c r="G11" s="93">
        <v>43605</v>
      </c>
      <c r="H11" s="94">
        <f t="shared" si="1"/>
        <v>365</v>
      </c>
      <c r="I11" s="95">
        <v>5.7</v>
      </c>
      <c r="J11" s="87">
        <f t="shared" si="0"/>
        <v>5700</v>
      </c>
      <c r="K11" s="96">
        <f t="shared" si="2"/>
        <v>3800</v>
      </c>
      <c r="L11" s="97">
        <f>J11*50%*2/3</f>
        <v>1900</v>
      </c>
      <c r="M11" s="97">
        <f>J11*5%*2/3</f>
        <v>190</v>
      </c>
      <c r="N11" s="97">
        <f>J11*45%*2/3</f>
        <v>1710</v>
      </c>
    </row>
    <row r="12" spans="1:14" s="98" customFormat="1" ht="22.5" customHeight="1">
      <c r="A12" s="89"/>
      <c r="B12" s="90" t="s">
        <v>82</v>
      </c>
      <c r="C12" s="91">
        <v>100000</v>
      </c>
      <c r="D12" s="92" t="s">
        <v>30</v>
      </c>
      <c r="E12" s="93">
        <v>42874</v>
      </c>
      <c r="F12" s="93">
        <v>43606</v>
      </c>
      <c r="G12" s="93">
        <v>43938</v>
      </c>
      <c r="H12" s="94">
        <f t="shared" si="1"/>
        <v>332</v>
      </c>
      <c r="I12" s="95">
        <v>5.7</v>
      </c>
      <c r="J12" s="87">
        <f t="shared" si="0"/>
        <v>5184.66</v>
      </c>
      <c r="K12" s="96">
        <f t="shared" si="2"/>
        <v>1728.22</v>
      </c>
      <c r="L12" s="97">
        <f>J12*50%*1/3</f>
        <v>864.11</v>
      </c>
      <c r="M12" s="97">
        <f>J12*5%*1/3</f>
        <v>86.41</v>
      </c>
      <c r="N12" s="97">
        <f>J12*45%*1/3</f>
        <v>777.7</v>
      </c>
    </row>
    <row r="13" spans="1:14" s="98" customFormat="1" ht="22.5" customHeight="1">
      <c r="A13" s="89">
        <v>4</v>
      </c>
      <c r="B13" s="90" t="s">
        <v>83</v>
      </c>
      <c r="C13" s="91">
        <v>300000</v>
      </c>
      <c r="D13" s="92" t="s">
        <v>30</v>
      </c>
      <c r="E13" s="93">
        <v>42886</v>
      </c>
      <c r="F13" s="93">
        <v>42886</v>
      </c>
      <c r="G13" s="93">
        <v>43251</v>
      </c>
      <c r="H13" s="94">
        <f t="shared" si="1"/>
        <v>365</v>
      </c>
      <c r="I13" s="95">
        <v>5.7</v>
      </c>
      <c r="J13" s="87">
        <f t="shared" si="0"/>
        <v>17100</v>
      </c>
      <c r="K13" s="96">
        <f t="shared" si="2"/>
        <v>17100</v>
      </c>
      <c r="L13" s="97">
        <f>J13*50%</f>
        <v>8550</v>
      </c>
      <c r="M13" s="97">
        <f>J13*5%</f>
        <v>855</v>
      </c>
      <c r="N13" s="97">
        <f>J13*45%</f>
        <v>7695</v>
      </c>
    </row>
    <row r="14" spans="1:14" s="98" customFormat="1" ht="22.5" customHeight="1">
      <c r="A14" s="89"/>
      <c r="B14" s="90" t="s">
        <v>83</v>
      </c>
      <c r="C14" s="91">
        <v>300000</v>
      </c>
      <c r="D14" s="92" t="s">
        <v>30</v>
      </c>
      <c r="E14" s="93">
        <v>42886</v>
      </c>
      <c r="F14" s="93">
        <v>43252</v>
      </c>
      <c r="G14" s="93">
        <v>43617</v>
      </c>
      <c r="H14" s="94">
        <f t="shared" si="1"/>
        <v>365</v>
      </c>
      <c r="I14" s="95">
        <v>5.7</v>
      </c>
      <c r="J14" s="87">
        <f t="shared" si="0"/>
        <v>17100</v>
      </c>
      <c r="K14" s="96">
        <f t="shared" si="2"/>
        <v>11400</v>
      </c>
      <c r="L14" s="97">
        <f>J14*50%*2/3</f>
        <v>5700</v>
      </c>
      <c r="M14" s="97">
        <f>J14*5%*2/3</f>
        <v>570</v>
      </c>
      <c r="N14" s="97">
        <f>J14*45%*2/3</f>
        <v>5130</v>
      </c>
    </row>
    <row r="15" spans="1:14" s="98" customFormat="1" ht="22.5" customHeight="1">
      <c r="A15" s="89"/>
      <c r="B15" s="90" t="s">
        <v>83</v>
      </c>
      <c r="C15" s="91">
        <v>300000</v>
      </c>
      <c r="D15" s="92" t="s">
        <v>30</v>
      </c>
      <c r="E15" s="93">
        <v>42886</v>
      </c>
      <c r="F15" s="93">
        <v>43618</v>
      </c>
      <c r="G15" s="93">
        <v>43982</v>
      </c>
      <c r="H15" s="94">
        <f t="shared" si="1"/>
        <v>364</v>
      </c>
      <c r="I15" s="95">
        <v>5.7</v>
      </c>
      <c r="J15" s="87">
        <f t="shared" si="0"/>
        <v>17053.150000000001</v>
      </c>
      <c r="K15" s="96">
        <f t="shared" si="2"/>
        <v>5684.38</v>
      </c>
      <c r="L15" s="97">
        <f>J15*50%*1/3</f>
        <v>2842.19</v>
      </c>
      <c r="M15" s="97">
        <f>J15*5%*1/3</f>
        <v>284.22000000000003</v>
      </c>
      <c r="N15" s="97">
        <f>J15*45%*1/3</f>
        <v>2557.9699999999998</v>
      </c>
    </row>
    <row r="16" spans="1:14" s="98" customFormat="1" ht="22.5" customHeight="1">
      <c r="A16" s="89">
        <v>5</v>
      </c>
      <c r="B16" s="90" t="s">
        <v>84</v>
      </c>
      <c r="C16" s="91">
        <v>100000</v>
      </c>
      <c r="D16" s="92" t="s">
        <v>30</v>
      </c>
      <c r="E16" s="93">
        <v>42874</v>
      </c>
      <c r="F16" s="93">
        <v>42874</v>
      </c>
      <c r="G16" s="93">
        <v>43239</v>
      </c>
      <c r="H16" s="94">
        <f t="shared" si="1"/>
        <v>365</v>
      </c>
      <c r="I16" s="95">
        <v>5.7</v>
      </c>
      <c r="J16" s="87">
        <f t="shared" si="0"/>
        <v>5700</v>
      </c>
      <c r="K16" s="96">
        <f t="shared" si="2"/>
        <v>5700</v>
      </c>
      <c r="L16" s="97">
        <f>J16*50%</f>
        <v>2850</v>
      </c>
      <c r="M16" s="97">
        <f>J16*5%</f>
        <v>285</v>
      </c>
      <c r="N16" s="97">
        <f>J16*45%</f>
        <v>2565</v>
      </c>
    </row>
    <row r="17" spans="1:14" s="98" customFormat="1" ht="22.5" customHeight="1">
      <c r="A17" s="89"/>
      <c r="B17" s="90" t="s">
        <v>84</v>
      </c>
      <c r="C17" s="91">
        <v>100000</v>
      </c>
      <c r="D17" s="92" t="s">
        <v>30</v>
      </c>
      <c r="E17" s="93">
        <v>42874</v>
      </c>
      <c r="F17" s="93">
        <v>43240</v>
      </c>
      <c r="G17" s="93">
        <v>43293</v>
      </c>
      <c r="H17" s="94">
        <f t="shared" si="1"/>
        <v>53</v>
      </c>
      <c r="I17" s="95">
        <v>5.7</v>
      </c>
      <c r="J17" s="87">
        <f t="shared" si="0"/>
        <v>827.67</v>
      </c>
      <c r="K17" s="96">
        <f t="shared" si="2"/>
        <v>551.78</v>
      </c>
      <c r="L17" s="97">
        <f>J17*50%*2/3</f>
        <v>275.89</v>
      </c>
      <c r="M17" s="97">
        <f>J17*5%*2/3</f>
        <v>27.59</v>
      </c>
      <c r="N17" s="97">
        <f>J17*45%*2/3</f>
        <v>248.3</v>
      </c>
    </row>
    <row r="18" spans="1:14" s="98" customFormat="1" ht="22.5" customHeight="1">
      <c r="A18" s="89">
        <v>6</v>
      </c>
      <c r="B18" s="90" t="s">
        <v>85</v>
      </c>
      <c r="C18" s="91">
        <v>100000</v>
      </c>
      <c r="D18" s="92" t="s">
        <v>30</v>
      </c>
      <c r="E18" s="93">
        <v>42892</v>
      </c>
      <c r="F18" s="93">
        <v>42892</v>
      </c>
      <c r="G18" s="93">
        <v>43257</v>
      </c>
      <c r="H18" s="94">
        <f t="shared" si="1"/>
        <v>365</v>
      </c>
      <c r="I18" s="95">
        <v>5.7</v>
      </c>
      <c r="J18" s="87">
        <f t="shared" si="0"/>
        <v>5700</v>
      </c>
      <c r="K18" s="96">
        <f t="shared" si="2"/>
        <v>5700</v>
      </c>
      <c r="L18" s="97">
        <f>J18*50%</f>
        <v>2850</v>
      </c>
      <c r="M18" s="97">
        <f>J18*5%</f>
        <v>285</v>
      </c>
      <c r="N18" s="97">
        <f>J18*45%</f>
        <v>2565</v>
      </c>
    </row>
    <row r="19" spans="1:14" s="98" customFormat="1" ht="22.5" customHeight="1">
      <c r="A19" s="89"/>
      <c r="B19" s="90" t="s">
        <v>85</v>
      </c>
      <c r="C19" s="91">
        <v>100000</v>
      </c>
      <c r="D19" s="92" t="s">
        <v>30</v>
      </c>
      <c r="E19" s="93">
        <v>42892</v>
      </c>
      <c r="F19" s="93">
        <v>43258</v>
      </c>
      <c r="G19" s="93">
        <v>43623</v>
      </c>
      <c r="H19" s="94">
        <f t="shared" si="1"/>
        <v>365</v>
      </c>
      <c r="I19" s="95">
        <v>5.7</v>
      </c>
      <c r="J19" s="87">
        <f t="shared" si="0"/>
        <v>5700</v>
      </c>
      <c r="K19" s="96">
        <f t="shared" si="2"/>
        <v>3800</v>
      </c>
      <c r="L19" s="97">
        <f>J19*50%*2/3</f>
        <v>1900</v>
      </c>
      <c r="M19" s="97">
        <f>J19*5%*2/3</f>
        <v>190</v>
      </c>
      <c r="N19" s="97">
        <f>J19*45%*2/3</f>
        <v>1710</v>
      </c>
    </row>
    <row r="20" spans="1:14" s="98" customFormat="1" ht="22.5" customHeight="1">
      <c r="A20" s="89"/>
      <c r="B20" s="90" t="s">
        <v>85</v>
      </c>
      <c r="C20" s="91">
        <v>100000</v>
      </c>
      <c r="D20" s="92" t="s">
        <v>30</v>
      </c>
      <c r="E20" s="93">
        <v>42892</v>
      </c>
      <c r="F20" s="93">
        <v>43624</v>
      </c>
      <c r="G20" s="93">
        <v>43988</v>
      </c>
      <c r="H20" s="94">
        <f t="shared" si="1"/>
        <v>364</v>
      </c>
      <c r="I20" s="95">
        <v>5.7</v>
      </c>
      <c r="J20" s="87">
        <f t="shared" si="0"/>
        <v>5684.38</v>
      </c>
      <c r="K20" s="96">
        <f t="shared" si="2"/>
        <v>1894.8</v>
      </c>
      <c r="L20" s="97">
        <f>J20*50%*1/3</f>
        <v>947.4</v>
      </c>
      <c r="M20" s="97">
        <f>J20*5%*1/3</f>
        <v>94.74</v>
      </c>
      <c r="N20" s="97">
        <f>J20*45%*1/3</f>
        <v>852.66</v>
      </c>
    </row>
    <row r="21" spans="1:14" s="98" customFormat="1" ht="22.5" customHeight="1">
      <c r="A21" s="89"/>
      <c r="B21" s="108" t="s">
        <v>53</v>
      </c>
      <c r="C21" s="99">
        <f>C5+C8+C10+C13+C16+C18</f>
        <v>800000</v>
      </c>
      <c r="D21" s="100"/>
      <c r="E21" s="93"/>
      <c r="F21" s="93"/>
      <c r="G21" s="93"/>
      <c r="H21" s="94"/>
      <c r="I21" s="95"/>
      <c r="J21" s="87">
        <f>SUM(J5:J17)</f>
        <v>98461.64</v>
      </c>
      <c r="K21" s="96">
        <f>L21+M21+N21</f>
        <v>71091.22</v>
      </c>
      <c r="L21" s="97">
        <f>SUM(L5:L17)</f>
        <v>35545.61</v>
      </c>
      <c r="M21" s="97">
        <f>SUM(M5:M17)</f>
        <v>3554.56</v>
      </c>
      <c r="N21" s="97">
        <f>SUM(N5:N17)</f>
        <v>31991.05</v>
      </c>
    </row>
    <row r="22" spans="1:14" s="70" customFormat="1" ht="57" customHeight="1">
      <c r="A22" s="111" t="s">
        <v>86</v>
      </c>
      <c r="B22" s="111"/>
      <c r="C22" s="101"/>
      <c r="D22" s="109" t="s">
        <v>87</v>
      </c>
      <c r="E22" s="109"/>
      <c r="F22" s="110" t="s">
        <v>88</v>
      </c>
      <c r="G22" s="110"/>
      <c r="H22" s="110"/>
      <c r="I22" s="110"/>
      <c r="J22" s="110"/>
      <c r="K22" s="110"/>
      <c r="L22" s="110"/>
      <c r="M22" s="111"/>
      <c r="N22" s="69"/>
    </row>
  </sheetData>
  <mergeCells count="7">
    <mergeCell ref="D22:E22"/>
    <mergeCell ref="F22:M22"/>
    <mergeCell ref="A1:N1"/>
    <mergeCell ref="A2:G2"/>
    <mergeCell ref="A3:B3"/>
    <mergeCell ref="C3:D3"/>
    <mergeCell ref="A22:B22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8"/>
  <sheetViews>
    <sheetView zoomScaleNormal="100" workbookViewId="0">
      <selection activeCell="P9" sqref="P9"/>
    </sheetView>
  </sheetViews>
  <sheetFormatPr defaultRowHeight="14.25"/>
  <cols>
    <col min="1" max="1" width="3.25" customWidth="1"/>
    <col min="2" max="2" width="7" style="9" customWidth="1"/>
    <col min="3" max="3" width="5.625" customWidth="1"/>
    <col min="4" max="4" width="9.625" customWidth="1"/>
    <col min="5" max="5" width="7.375" customWidth="1"/>
    <col min="6" max="6" width="8.375" customWidth="1"/>
    <col min="7" max="7" width="8.375" style="9" customWidth="1"/>
    <col min="8" max="8" width="5.5" style="9" customWidth="1"/>
    <col min="9" max="9" width="10.125" style="21" customWidth="1"/>
    <col min="10" max="10" width="10.125" customWidth="1"/>
    <col min="11" max="13" width="10.125" style="10" customWidth="1"/>
  </cols>
  <sheetData>
    <row r="1" spans="1:13" ht="26.25" customHeight="1">
      <c r="A1" s="2" t="s">
        <v>63</v>
      </c>
    </row>
    <row r="2" spans="1:13" ht="28.5" customHeight="1">
      <c r="A2" s="116" t="s">
        <v>64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8" customHeight="1">
      <c r="A3" s="56" t="s">
        <v>65</v>
      </c>
      <c r="B3" s="56"/>
      <c r="C3" s="56"/>
      <c r="D3" s="56"/>
      <c r="E3" s="117" t="s">
        <v>66</v>
      </c>
      <c r="F3" s="117"/>
      <c r="G3" s="117"/>
      <c r="H3" s="117"/>
      <c r="I3" s="117"/>
      <c r="J3" s="117"/>
      <c r="K3" s="11" t="s">
        <v>67</v>
      </c>
      <c r="L3" s="11"/>
      <c r="M3" s="14"/>
    </row>
    <row r="4" spans="1:13" ht="18" customHeight="1">
      <c r="A4" s="120" t="s">
        <v>68</v>
      </c>
      <c r="B4" s="122" t="s">
        <v>69</v>
      </c>
      <c r="C4" s="122" t="s">
        <v>70</v>
      </c>
      <c r="D4" s="118" t="s">
        <v>0</v>
      </c>
      <c r="E4" s="138" t="s">
        <v>71</v>
      </c>
      <c r="F4" s="120" t="s">
        <v>1</v>
      </c>
      <c r="G4" s="120" t="s">
        <v>72</v>
      </c>
      <c r="H4" s="120" t="s">
        <v>73</v>
      </c>
      <c r="I4" s="124" t="s">
        <v>36</v>
      </c>
      <c r="J4" s="140" t="s">
        <v>37</v>
      </c>
      <c r="K4" s="15">
        <v>0.5</v>
      </c>
      <c r="L4" s="15">
        <v>0.05</v>
      </c>
      <c r="M4" s="15">
        <v>0.45</v>
      </c>
    </row>
    <row r="5" spans="1:13" s="1" customFormat="1" ht="25.5" customHeight="1">
      <c r="A5" s="121"/>
      <c r="B5" s="123"/>
      <c r="C5" s="123"/>
      <c r="D5" s="119"/>
      <c r="E5" s="139"/>
      <c r="F5" s="119"/>
      <c r="G5" s="119"/>
      <c r="H5" s="121"/>
      <c r="I5" s="125"/>
      <c r="J5" s="119"/>
      <c r="K5" s="12" t="s">
        <v>38</v>
      </c>
      <c r="L5" s="13" t="s">
        <v>39</v>
      </c>
      <c r="M5" s="13" t="s">
        <v>40</v>
      </c>
    </row>
    <row r="6" spans="1:13" s="1" customFormat="1" ht="18" customHeight="1">
      <c r="A6" s="4">
        <v>1</v>
      </c>
      <c r="B6" s="58" t="s">
        <v>41</v>
      </c>
      <c r="C6" s="3" t="s">
        <v>42</v>
      </c>
      <c r="D6" s="6">
        <v>200000</v>
      </c>
      <c r="E6" s="7">
        <v>5.5415999999999999</v>
      </c>
      <c r="F6" s="8">
        <v>42900</v>
      </c>
      <c r="G6" s="8">
        <v>43265</v>
      </c>
      <c r="H6" s="43">
        <f>G6-F6</f>
        <v>365</v>
      </c>
      <c r="I6" s="22">
        <f>ROUND(D6*E6*12/360/1000*(G6-F6),2)</f>
        <v>13484.56</v>
      </c>
      <c r="J6" s="13">
        <f>K6+L6+M6</f>
        <v>13484.56</v>
      </c>
      <c r="K6" s="13">
        <f>I6*50%</f>
        <v>6742.28</v>
      </c>
      <c r="L6" s="13">
        <f>I6*5%</f>
        <v>674.23</v>
      </c>
      <c r="M6" s="13">
        <f>I6*45%</f>
        <v>6068.05</v>
      </c>
    </row>
    <row r="7" spans="1:13" s="1" customFormat="1" ht="18" customHeight="1">
      <c r="A7" s="4"/>
      <c r="B7" s="58" t="s">
        <v>41</v>
      </c>
      <c r="C7" s="3" t="s">
        <v>42</v>
      </c>
      <c r="D7" s="6">
        <v>200000</v>
      </c>
      <c r="E7" s="7">
        <v>5.5415999999999999</v>
      </c>
      <c r="F7" s="8">
        <v>43266</v>
      </c>
      <c r="G7" s="8">
        <v>43631</v>
      </c>
      <c r="H7" s="43">
        <f t="shared" ref="H7:H23" si="0">G7-F7</f>
        <v>365</v>
      </c>
      <c r="I7" s="22">
        <f t="shared" ref="I7:I23" si="1">ROUND(D7*E7*12/360/1000*(G7-F7),2)</f>
        <v>13484.56</v>
      </c>
      <c r="J7" s="13">
        <f t="shared" ref="J7:J17" si="2">K7+L7+M7</f>
        <v>8989.7099999999991</v>
      </c>
      <c r="K7" s="13">
        <f>I7*2/3*50%</f>
        <v>4494.8500000000004</v>
      </c>
      <c r="L7" s="13">
        <f>I7*2/3*5%</f>
        <v>449.49</v>
      </c>
      <c r="M7" s="13">
        <f>I7*2/3*45%</f>
        <v>4045.37</v>
      </c>
    </row>
    <row r="8" spans="1:13" s="1" customFormat="1" ht="18" customHeight="1">
      <c r="A8" s="4"/>
      <c r="B8" s="58" t="s">
        <v>41</v>
      </c>
      <c r="C8" s="3" t="s">
        <v>42</v>
      </c>
      <c r="D8" s="6">
        <v>200000</v>
      </c>
      <c r="E8" s="7">
        <v>5.5415999999999999</v>
      </c>
      <c r="F8" s="8">
        <v>43631</v>
      </c>
      <c r="G8" s="8">
        <v>43948</v>
      </c>
      <c r="H8" s="43">
        <f t="shared" si="0"/>
        <v>317</v>
      </c>
      <c r="I8" s="22">
        <f t="shared" si="1"/>
        <v>11711.25</v>
      </c>
      <c r="J8" s="13">
        <f t="shared" si="2"/>
        <v>3903.76</v>
      </c>
      <c r="K8" s="13">
        <f>I8*1/3*50%</f>
        <v>1951.88</v>
      </c>
      <c r="L8" s="13">
        <f>I8*1/3*5%</f>
        <v>195.19</v>
      </c>
      <c r="M8" s="13">
        <f>I8*1/3*45%</f>
        <v>1756.69</v>
      </c>
    </row>
    <row r="9" spans="1:13" s="1" customFormat="1" ht="18" customHeight="1">
      <c r="A9" s="4">
        <v>2</v>
      </c>
      <c r="B9" s="58" t="s">
        <v>43</v>
      </c>
      <c r="C9" s="3" t="s">
        <v>42</v>
      </c>
      <c r="D9" s="6">
        <v>200000</v>
      </c>
      <c r="E9" s="7">
        <v>5.5415999999999999</v>
      </c>
      <c r="F9" s="8">
        <v>43279</v>
      </c>
      <c r="G9" s="8">
        <v>43945</v>
      </c>
      <c r="H9" s="43">
        <f t="shared" si="0"/>
        <v>666</v>
      </c>
      <c r="I9" s="22">
        <f t="shared" si="1"/>
        <v>24604.7</v>
      </c>
      <c r="J9" s="13">
        <f t="shared" si="2"/>
        <v>24604.71</v>
      </c>
      <c r="K9" s="13">
        <f>I9*50%</f>
        <v>12302.35</v>
      </c>
      <c r="L9" s="13">
        <f>I9*5%</f>
        <v>1230.24</v>
      </c>
      <c r="M9" s="13">
        <f>I9*45%</f>
        <v>11072.12</v>
      </c>
    </row>
    <row r="10" spans="1:13" s="24" customFormat="1" ht="18" customHeight="1">
      <c r="A10" s="57">
        <v>3</v>
      </c>
      <c r="B10" s="59" t="s">
        <v>44</v>
      </c>
      <c r="C10" s="3" t="s">
        <v>42</v>
      </c>
      <c r="D10" s="26">
        <v>100000</v>
      </c>
      <c r="E10" s="7">
        <v>5.5415999999999999</v>
      </c>
      <c r="F10" s="8">
        <v>42811</v>
      </c>
      <c r="G10" s="8">
        <v>43124</v>
      </c>
      <c r="H10" s="43">
        <f t="shared" si="0"/>
        <v>313</v>
      </c>
      <c r="I10" s="22">
        <f t="shared" si="1"/>
        <v>5781.74</v>
      </c>
      <c r="J10" s="22">
        <f t="shared" si="2"/>
        <v>5781.74</v>
      </c>
      <c r="K10" s="22">
        <f>I10*50%</f>
        <v>2890.87</v>
      </c>
      <c r="L10" s="22">
        <f>I10*5%</f>
        <v>289.08999999999997</v>
      </c>
      <c r="M10" s="22">
        <f>I10*45%</f>
        <v>2601.7800000000002</v>
      </c>
    </row>
    <row r="11" spans="1:13" s="24" customFormat="1" ht="18" customHeight="1">
      <c r="A11" s="25">
        <v>4</v>
      </c>
      <c r="B11" s="58" t="s">
        <v>45</v>
      </c>
      <c r="C11" s="3" t="s">
        <v>42</v>
      </c>
      <c r="D11" s="26">
        <v>100000</v>
      </c>
      <c r="E11" s="7">
        <v>5.5415999999999999</v>
      </c>
      <c r="F11" s="8">
        <v>43248</v>
      </c>
      <c r="G11" s="8">
        <v>43969</v>
      </c>
      <c r="H11" s="43">
        <f>G11-F11</f>
        <v>721</v>
      </c>
      <c r="I11" s="22">
        <f t="shared" si="1"/>
        <v>13318.31</v>
      </c>
      <c r="J11" s="13">
        <f t="shared" si="2"/>
        <v>13318.32</v>
      </c>
      <c r="K11" s="13">
        <f>I11*50%</f>
        <v>6659.16</v>
      </c>
      <c r="L11" s="13">
        <f>I11*5%</f>
        <v>665.92</v>
      </c>
      <c r="M11" s="13">
        <f>I11*45%</f>
        <v>5993.24</v>
      </c>
    </row>
    <row r="12" spans="1:13" s="24" customFormat="1" ht="18" customHeight="1">
      <c r="A12" s="25">
        <v>5</v>
      </c>
      <c r="B12" s="60" t="s">
        <v>46</v>
      </c>
      <c r="C12" s="3" t="s">
        <v>42</v>
      </c>
      <c r="D12" s="26">
        <v>100000</v>
      </c>
      <c r="E12" s="7">
        <v>5.5415999999999999</v>
      </c>
      <c r="F12" s="8">
        <v>43263</v>
      </c>
      <c r="G12" s="8">
        <v>43963</v>
      </c>
      <c r="H12" s="43">
        <f t="shared" si="0"/>
        <v>700</v>
      </c>
      <c r="I12" s="22">
        <f t="shared" si="1"/>
        <v>12930.4</v>
      </c>
      <c r="J12" s="13">
        <f t="shared" si="2"/>
        <v>12930.4</v>
      </c>
      <c r="K12" s="13">
        <f>I12*50%</f>
        <v>6465.2</v>
      </c>
      <c r="L12" s="13">
        <f>I12*5%</f>
        <v>646.52</v>
      </c>
      <c r="M12" s="13">
        <f>I12*45%</f>
        <v>5818.68</v>
      </c>
    </row>
    <row r="13" spans="1:13" s="24" customFormat="1" ht="18" customHeight="1">
      <c r="A13" s="25">
        <v>6</v>
      </c>
      <c r="B13" s="58" t="s">
        <v>47</v>
      </c>
      <c r="C13" s="3" t="s">
        <v>42</v>
      </c>
      <c r="D13" s="26">
        <v>100000</v>
      </c>
      <c r="E13" s="7">
        <v>5.5415999999999999</v>
      </c>
      <c r="F13" s="8">
        <v>42815</v>
      </c>
      <c r="G13" s="8">
        <v>43180</v>
      </c>
      <c r="H13" s="43">
        <f t="shared" si="0"/>
        <v>365</v>
      </c>
      <c r="I13" s="22">
        <f t="shared" si="1"/>
        <v>6742.28</v>
      </c>
      <c r="J13" s="13">
        <f t="shared" si="2"/>
        <v>6742.28</v>
      </c>
      <c r="K13" s="13">
        <f>I13*50%</f>
        <v>3371.14</v>
      </c>
      <c r="L13" s="13">
        <f>I13*5%</f>
        <v>337.11</v>
      </c>
      <c r="M13" s="13">
        <f>I13*45%</f>
        <v>3034.03</v>
      </c>
    </row>
    <row r="14" spans="1:13" s="24" customFormat="1" ht="18" customHeight="1">
      <c r="A14" s="25"/>
      <c r="B14" s="58" t="s">
        <v>47</v>
      </c>
      <c r="C14" s="3" t="s">
        <v>42</v>
      </c>
      <c r="D14" s="26">
        <v>100000</v>
      </c>
      <c r="E14" s="7">
        <v>5.5415999999999999</v>
      </c>
      <c r="F14" s="8">
        <v>43181</v>
      </c>
      <c r="G14" s="8">
        <v>43192</v>
      </c>
      <c r="H14" s="43">
        <f t="shared" si="0"/>
        <v>11</v>
      </c>
      <c r="I14" s="22">
        <f t="shared" si="1"/>
        <v>203.19</v>
      </c>
      <c r="J14" s="13">
        <f t="shared" si="2"/>
        <v>135.46</v>
      </c>
      <c r="K14" s="13">
        <f>I14*50%*2/3</f>
        <v>67.73</v>
      </c>
      <c r="L14" s="13">
        <f>I14*5%*2/3</f>
        <v>6.77</v>
      </c>
      <c r="M14" s="13">
        <f>I14*45%*2/3</f>
        <v>60.96</v>
      </c>
    </row>
    <row r="15" spans="1:13" s="1" customFormat="1" ht="18" customHeight="1">
      <c r="A15" s="25">
        <v>7</v>
      </c>
      <c r="B15" s="58" t="s">
        <v>48</v>
      </c>
      <c r="C15" s="3" t="s">
        <v>42</v>
      </c>
      <c r="D15" s="26">
        <v>100000</v>
      </c>
      <c r="E15" s="7">
        <v>5.5415999999999999</v>
      </c>
      <c r="F15" s="8">
        <v>43271</v>
      </c>
      <c r="G15" s="8">
        <v>43965</v>
      </c>
      <c r="H15" s="43">
        <f t="shared" si="0"/>
        <v>694</v>
      </c>
      <c r="I15" s="22">
        <f t="shared" si="1"/>
        <v>12819.57</v>
      </c>
      <c r="J15" s="13">
        <f t="shared" si="2"/>
        <v>12819.57</v>
      </c>
      <c r="K15" s="13">
        <f>I15*50%</f>
        <v>6409.79</v>
      </c>
      <c r="L15" s="13">
        <v>640.97</v>
      </c>
      <c r="M15" s="13">
        <f>I15*45%</f>
        <v>5768.81</v>
      </c>
    </row>
    <row r="16" spans="1:13" s="1" customFormat="1" ht="18" customHeight="1">
      <c r="A16" s="25">
        <v>8</v>
      </c>
      <c r="B16" s="58" t="s">
        <v>49</v>
      </c>
      <c r="C16" s="3" t="s">
        <v>42</v>
      </c>
      <c r="D16" s="6">
        <v>200000</v>
      </c>
      <c r="E16" s="7">
        <v>5.5415999999999999</v>
      </c>
      <c r="F16" s="8">
        <v>42941</v>
      </c>
      <c r="G16" s="8">
        <v>43306</v>
      </c>
      <c r="H16" s="43">
        <f t="shared" si="0"/>
        <v>365</v>
      </c>
      <c r="I16" s="22">
        <f t="shared" si="1"/>
        <v>13484.56</v>
      </c>
      <c r="J16" s="13">
        <f t="shared" si="2"/>
        <v>13484.56</v>
      </c>
      <c r="K16" s="13">
        <f>I16*50%</f>
        <v>6742.28</v>
      </c>
      <c r="L16" s="13">
        <f>I16*5%</f>
        <v>674.23</v>
      </c>
      <c r="M16" s="13">
        <f>I16*45%</f>
        <v>6068.05</v>
      </c>
    </row>
    <row r="17" spans="1:13" s="24" customFormat="1" ht="18" customHeight="1">
      <c r="A17" s="25"/>
      <c r="B17" s="58" t="s">
        <v>49</v>
      </c>
      <c r="C17" s="3" t="s">
        <v>42</v>
      </c>
      <c r="D17" s="6">
        <v>200000</v>
      </c>
      <c r="E17" s="7">
        <v>5.5415999999999999</v>
      </c>
      <c r="F17" s="8">
        <v>43307</v>
      </c>
      <c r="G17" s="8">
        <v>43672</v>
      </c>
      <c r="H17" s="43">
        <f t="shared" si="0"/>
        <v>365</v>
      </c>
      <c r="I17" s="22">
        <f t="shared" si="1"/>
        <v>13484.56</v>
      </c>
      <c r="J17" s="13">
        <f t="shared" si="2"/>
        <v>8989.7099999999991</v>
      </c>
      <c r="K17" s="22">
        <f>I17*50%*2/3</f>
        <v>4494.8500000000004</v>
      </c>
      <c r="L17" s="13">
        <f>I17*5%*2/3</f>
        <v>449.49</v>
      </c>
      <c r="M17" s="13">
        <f>I17*45%*2/3</f>
        <v>4045.37</v>
      </c>
    </row>
    <row r="18" spans="1:13" s="24" customFormat="1" ht="18" customHeight="1">
      <c r="A18" s="25"/>
      <c r="B18" s="58" t="s">
        <v>49</v>
      </c>
      <c r="C18" s="3" t="s">
        <v>42</v>
      </c>
      <c r="D18" s="6">
        <v>200000</v>
      </c>
      <c r="E18" s="7">
        <v>5.5415999999999999</v>
      </c>
      <c r="F18" s="8">
        <v>43673</v>
      </c>
      <c r="G18" s="8">
        <v>43978</v>
      </c>
      <c r="H18" s="43">
        <f t="shared" si="0"/>
        <v>305</v>
      </c>
      <c r="I18" s="22">
        <f t="shared" si="1"/>
        <v>11267.92</v>
      </c>
      <c r="J18" s="13">
        <f>K18+L18+M18</f>
        <v>3755.98</v>
      </c>
      <c r="K18" s="22">
        <f>I18*50%*1/3</f>
        <v>1877.99</v>
      </c>
      <c r="L18" s="13">
        <f>I18*5%*1/3</f>
        <v>187.8</v>
      </c>
      <c r="M18" s="13">
        <f>I18*45%*1/3</f>
        <v>1690.19</v>
      </c>
    </row>
    <row r="19" spans="1:13" s="24" customFormat="1" ht="18" customHeight="1">
      <c r="A19" s="25">
        <v>9</v>
      </c>
      <c r="B19" s="58" t="s">
        <v>50</v>
      </c>
      <c r="C19" s="3" t="s">
        <v>42</v>
      </c>
      <c r="D19" s="6">
        <v>150000</v>
      </c>
      <c r="E19" s="7">
        <v>5.5415999999999999</v>
      </c>
      <c r="F19" s="8">
        <v>43637</v>
      </c>
      <c r="G19" s="8">
        <v>43924</v>
      </c>
      <c r="H19" s="43">
        <f t="shared" si="0"/>
        <v>287</v>
      </c>
      <c r="I19" s="22">
        <f t="shared" si="1"/>
        <v>7952.2</v>
      </c>
      <c r="J19" s="13">
        <f>K19+L19+M19</f>
        <v>7952.2</v>
      </c>
      <c r="K19" s="22">
        <f>I19*50%</f>
        <v>3976.1</v>
      </c>
      <c r="L19" s="13">
        <f>I19*5%</f>
        <v>397.61</v>
      </c>
      <c r="M19" s="13">
        <f>I19*45%</f>
        <v>3578.49</v>
      </c>
    </row>
    <row r="20" spans="1:13" s="24" customFormat="1" ht="18" customHeight="1">
      <c r="A20" s="25">
        <v>10</v>
      </c>
      <c r="B20" s="61" t="s">
        <v>51</v>
      </c>
      <c r="C20" s="3" t="s">
        <v>42</v>
      </c>
      <c r="D20" s="6">
        <v>400000</v>
      </c>
      <c r="E20" s="7">
        <v>5.5415999999999999</v>
      </c>
      <c r="F20" s="8">
        <v>43311</v>
      </c>
      <c r="G20" s="8">
        <v>43947</v>
      </c>
      <c r="H20" s="43">
        <f t="shared" si="0"/>
        <v>636</v>
      </c>
      <c r="I20" s="22">
        <f t="shared" si="1"/>
        <v>46992.77</v>
      </c>
      <c r="J20" s="13">
        <f>I20</f>
        <v>46992.77</v>
      </c>
      <c r="K20" s="22"/>
      <c r="L20" s="22"/>
      <c r="M20" s="13">
        <f>I20</f>
        <v>46992.77</v>
      </c>
    </row>
    <row r="21" spans="1:13" s="24" customFormat="1" ht="18" customHeight="1">
      <c r="A21" s="25">
        <v>11</v>
      </c>
      <c r="B21" s="62" t="s">
        <v>52</v>
      </c>
      <c r="C21" s="3" t="s">
        <v>42</v>
      </c>
      <c r="D21" s="6">
        <v>150000</v>
      </c>
      <c r="E21" s="7">
        <v>5.5415999999999999</v>
      </c>
      <c r="F21" s="8">
        <v>42839</v>
      </c>
      <c r="G21" s="8">
        <v>43204</v>
      </c>
      <c r="H21" s="43">
        <f t="shared" si="0"/>
        <v>365</v>
      </c>
      <c r="I21" s="22">
        <f t="shared" si="1"/>
        <v>10113.42</v>
      </c>
      <c r="J21" s="13">
        <f>K21+L21+M21</f>
        <v>10113.42</v>
      </c>
      <c r="K21" s="22">
        <f>I21*50%</f>
        <v>5056.71</v>
      </c>
      <c r="L21" s="22">
        <f>I21*5%</f>
        <v>505.67</v>
      </c>
      <c r="M21" s="13">
        <f>I21*45%</f>
        <v>4551.04</v>
      </c>
    </row>
    <row r="22" spans="1:13" s="24" customFormat="1" ht="18" customHeight="1">
      <c r="A22" s="25"/>
      <c r="B22" s="62" t="s">
        <v>52</v>
      </c>
      <c r="C22" s="3" t="s">
        <v>42</v>
      </c>
      <c r="D22" s="6">
        <v>150000</v>
      </c>
      <c r="E22" s="7">
        <v>5.5415999999999999</v>
      </c>
      <c r="F22" s="8">
        <v>43205</v>
      </c>
      <c r="G22" s="8">
        <v>43570</v>
      </c>
      <c r="H22" s="43">
        <f t="shared" si="0"/>
        <v>365</v>
      </c>
      <c r="I22" s="22">
        <f t="shared" si="1"/>
        <v>10113.42</v>
      </c>
      <c r="J22" s="13">
        <f>K22+L22+M22</f>
        <v>6742.28</v>
      </c>
      <c r="K22" s="22">
        <f>I22*50%*2/3</f>
        <v>3371.14</v>
      </c>
      <c r="L22" s="22">
        <f>I22*5%*2/3</f>
        <v>337.11</v>
      </c>
      <c r="M22" s="13">
        <f>I22*45%*2/3</f>
        <v>3034.03</v>
      </c>
    </row>
    <row r="23" spans="1:13" s="24" customFormat="1" ht="18" customHeight="1">
      <c r="A23" s="25"/>
      <c r="B23" s="62" t="s">
        <v>52</v>
      </c>
      <c r="C23" s="3" t="s">
        <v>42</v>
      </c>
      <c r="D23" s="6">
        <v>150000</v>
      </c>
      <c r="E23" s="7">
        <v>5.5415999999999999</v>
      </c>
      <c r="F23" s="8">
        <v>43571</v>
      </c>
      <c r="G23" s="8">
        <v>43912</v>
      </c>
      <c r="H23" s="43">
        <f t="shared" si="0"/>
        <v>341</v>
      </c>
      <c r="I23" s="22">
        <f t="shared" si="1"/>
        <v>9448.43</v>
      </c>
      <c r="J23" s="13">
        <f>K23+L23+M23</f>
        <v>3149.47</v>
      </c>
      <c r="K23" s="22">
        <f>I23*50%*1/3</f>
        <v>1574.74</v>
      </c>
      <c r="L23" s="22">
        <f>I23*5%*1/3</f>
        <v>157.47</v>
      </c>
      <c r="M23" s="13">
        <f>I23*45%*1/3</f>
        <v>1417.26</v>
      </c>
    </row>
    <row r="24" spans="1:13" s="24" customFormat="1" ht="18" customHeight="1">
      <c r="A24" s="25"/>
      <c r="B24" s="126" t="s">
        <v>53</v>
      </c>
      <c r="C24" s="127"/>
      <c r="D24" s="63">
        <f>D6+D9+D10+D11+D12+D13+D15+D16+D19+D20+D21</f>
        <v>1800000</v>
      </c>
      <c r="E24" s="64"/>
      <c r="F24" s="64"/>
      <c r="G24" s="64"/>
      <c r="H24" s="64"/>
      <c r="I24" s="22">
        <f>SUM(I6:I23)</f>
        <v>237937.84</v>
      </c>
      <c r="J24" s="13">
        <f>K24+L24+M24</f>
        <v>203890.9</v>
      </c>
      <c r="K24" s="22">
        <f>SUM(K6:K23)</f>
        <v>78449.06</v>
      </c>
      <c r="L24" s="22">
        <f>SUM(L6:L23)</f>
        <v>7844.91</v>
      </c>
      <c r="M24" s="13">
        <f>SUM(M6:M23)</f>
        <v>117596.93</v>
      </c>
    </row>
    <row r="25" spans="1:13" s="23" customFormat="1" ht="18" customHeight="1">
      <c r="A25" s="128" t="s">
        <v>54</v>
      </c>
      <c r="B25" s="129" t="s">
        <v>55</v>
      </c>
      <c r="C25" s="130"/>
      <c r="D25" s="130"/>
      <c r="E25" s="131"/>
      <c r="F25" s="132" t="s">
        <v>56</v>
      </c>
      <c r="G25" s="133"/>
      <c r="H25" s="133"/>
      <c r="I25" s="133"/>
      <c r="J25" s="133"/>
      <c r="K25" s="133"/>
      <c r="L25" s="133"/>
      <c r="M25" s="134"/>
    </row>
    <row r="26" spans="1:13" s="23" customFormat="1" ht="18" customHeight="1">
      <c r="A26" s="128"/>
      <c r="B26" s="135" t="s">
        <v>57</v>
      </c>
      <c r="C26" s="136"/>
      <c r="D26" s="136"/>
      <c r="E26" s="137"/>
      <c r="F26" s="135" t="s">
        <v>57</v>
      </c>
      <c r="G26" s="136"/>
      <c r="H26" s="136"/>
      <c r="I26" s="136"/>
      <c r="J26" s="136"/>
      <c r="K26" s="136"/>
      <c r="L26" s="136"/>
      <c r="M26" s="137"/>
    </row>
    <row r="27" spans="1:13" s="23" customFormat="1" ht="23.25" customHeight="1">
      <c r="A27" s="16" t="s">
        <v>58</v>
      </c>
      <c r="B27" s="17"/>
      <c r="C27" s="18"/>
      <c r="D27" s="18"/>
      <c r="E27" s="18"/>
      <c r="F27" s="18"/>
      <c r="G27" s="18"/>
      <c r="H27" s="18"/>
      <c r="I27" s="18"/>
      <c r="J27" s="18"/>
      <c r="K27" s="19" t="s">
        <v>59</v>
      </c>
      <c r="L27" s="10"/>
      <c r="M27" s="20"/>
    </row>
    <row r="28" spans="1:13" s="23" customFormat="1" ht="19.5" customHeight="1">
      <c r="A28" s="19" t="s">
        <v>60</v>
      </c>
      <c r="B28" s="19"/>
      <c r="C28" s="19"/>
      <c r="D28" s="19" t="s">
        <v>61</v>
      </c>
      <c r="E28" s="19"/>
      <c r="F28" s="19"/>
      <c r="G28" s="19"/>
      <c r="H28" s="19"/>
      <c r="I28" s="20"/>
      <c r="J28" s="20"/>
      <c r="K28" s="19" t="s">
        <v>62</v>
      </c>
      <c r="L28" s="10"/>
      <c r="M28" s="10"/>
    </row>
  </sheetData>
  <mergeCells count="18">
    <mergeCell ref="E4:E5"/>
    <mergeCell ref="J4:J5"/>
    <mergeCell ref="B24:C24"/>
    <mergeCell ref="A25:A26"/>
    <mergeCell ref="B25:E25"/>
    <mergeCell ref="F25:M25"/>
    <mergeCell ref="B26:E26"/>
    <mergeCell ref="F26:M26"/>
    <mergeCell ref="A2:M2"/>
    <mergeCell ref="E3:J3"/>
    <mergeCell ref="D4:D5"/>
    <mergeCell ref="F4:F5"/>
    <mergeCell ref="A4:A5"/>
    <mergeCell ref="B4:B5"/>
    <mergeCell ref="I4:I5"/>
    <mergeCell ref="H4:H5"/>
    <mergeCell ref="C4:C5"/>
    <mergeCell ref="G4:G5"/>
  </mergeCells>
  <phoneticPr fontId="3" type="noConversion"/>
  <printOptions horizontalCentered="1" verticalCentered="1"/>
  <pageMargins left="0.26" right="0.15748031496062992" top="0.39370078740157483" bottom="0.94488188976377963" header="0.23622047244094491" footer="0.35433070866141736"/>
  <pageSetup paperSize="9" orientation="landscape" r:id="rId1"/>
  <headerFooter alignWithMargins="0">
    <oddFooter xml:space="preserve">&amp;C第 &amp;P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22"/>
  <sheetViews>
    <sheetView topLeftCell="A10" workbookViewId="0">
      <selection activeCell="L19" sqref="L19:L20"/>
    </sheetView>
  </sheetViews>
  <sheetFormatPr defaultRowHeight="15.75"/>
  <cols>
    <col min="1" max="1" width="4.5" style="30" customWidth="1"/>
    <col min="2" max="2" width="25.375" style="30" customWidth="1"/>
    <col min="3" max="3" width="10.375" style="50" customWidth="1"/>
    <col min="4" max="4" width="5.625" style="30" customWidth="1"/>
    <col min="5" max="5" width="9.75" style="30" customWidth="1"/>
    <col min="6" max="6" width="10.375" style="30" customWidth="1"/>
    <col min="7" max="7" width="10.125" style="30" customWidth="1"/>
    <col min="8" max="8" width="11.625" style="30" customWidth="1"/>
    <col min="9" max="9" width="11.75" style="30" customWidth="1"/>
    <col min="10" max="10" width="6.75" style="30" bestFit="1" customWidth="1"/>
    <col min="11" max="11" width="10.875" style="51" customWidth="1"/>
    <col min="12" max="12" width="16.875" style="52" customWidth="1"/>
    <col min="13" max="13" width="12.625" style="53" customWidth="1"/>
    <col min="14" max="14" width="14.375" style="30" customWidth="1"/>
    <col min="15" max="16384" width="9" style="30"/>
  </cols>
  <sheetData>
    <row r="1" spans="1:14" ht="36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s="33" customFormat="1" ht="26.25" customHeight="1">
      <c r="A2" s="142" t="s">
        <v>13</v>
      </c>
      <c r="B2" s="142"/>
      <c r="C2" s="142"/>
      <c r="D2" s="142"/>
      <c r="E2" s="142"/>
      <c r="F2" s="142"/>
      <c r="G2" s="142"/>
      <c r="H2" s="142"/>
      <c r="I2" s="142"/>
      <c r="J2" s="31"/>
      <c r="K2" s="32"/>
      <c r="L2" s="31"/>
      <c r="M2" s="31"/>
      <c r="N2" s="31"/>
    </row>
    <row r="3" spans="1:14" s="35" customFormat="1" ht="27" customHeight="1">
      <c r="A3" s="143" t="s">
        <v>14</v>
      </c>
      <c r="B3" s="143"/>
      <c r="C3" s="143"/>
      <c r="D3" s="143"/>
      <c r="E3" s="143"/>
      <c r="F3" s="143"/>
      <c r="G3" s="143"/>
      <c r="H3" s="143"/>
      <c r="I3" s="143"/>
      <c r="J3" s="34"/>
      <c r="K3" s="29"/>
      <c r="L3" s="34"/>
      <c r="M3" s="34"/>
      <c r="N3" s="34" t="s">
        <v>15</v>
      </c>
    </row>
    <row r="4" spans="1:14" s="40" customFormat="1" ht="39" customHeight="1">
      <c r="A4" s="25" t="s">
        <v>16</v>
      </c>
      <c r="B4" s="36" t="s">
        <v>17</v>
      </c>
      <c r="C4" s="36" t="s">
        <v>18</v>
      </c>
      <c r="D4" s="36" t="s">
        <v>19</v>
      </c>
      <c r="E4" s="36" t="s">
        <v>20</v>
      </c>
      <c r="F4" s="36" t="s">
        <v>21</v>
      </c>
      <c r="G4" s="37" t="s">
        <v>22</v>
      </c>
      <c r="H4" s="36" t="s">
        <v>23</v>
      </c>
      <c r="I4" s="36" t="s">
        <v>24</v>
      </c>
      <c r="J4" s="36" t="s">
        <v>25</v>
      </c>
      <c r="K4" s="36" t="s">
        <v>26</v>
      </c>
      <c r="L4" s="38" t="s">
        <v>27</v>
      </c>
      <c r="M4" s="39" t="s">
        <v>28</v>
      </c>
      <c r="N4" s="39" t="s">
        <v>29</v>
      </c>
    </row>
    <row r="5" spans="1:14" s="32" customFormat="1" ht="45.6" customHeight="1">
      <c r="A5" s="41">
        <v>1</v>
      </c>
      <c r="B5" s="54" t="s">
        <v>4</v>
      </c>
      <c r="C5" s="5">
        <v>500000</v>
      </c>
      <c r="D5" s="42" t="s">
        <v>30</v>
      </c>
      <c r="E5" s="8">
        <v>42822</v>
      </c>
      <c r="F5" s="8">
        <v>43187</v>
      </c>
      <c r="G5" s="8">
        <v>42822</v>
      </c>
      <c r="H5" s="8">
        <v>42822</v>
      </c>
      <c r="I5" s="8">
        <v>43187</v>
      </c>
      <c r="J5" s="43">
        <f>I5-H5</f>
        <v>365</v>
      </c>
      <c r="K5" s="7">
        <v>6.6499199999999998</v>
      </c>
      <c r="L5" s="13">
        <f>C5*K5%/360*J5</f>
        <v>33711.4</v>
      </c>
      <c r="M5" s="13">
        <f>L5*0.6</f>
        <v>20226.84</v>
      </c>
      <c r="N5" s="13">
        <f>L5*0.4</f>
        <v>13484.56</v>
      </c>
    </row>
    <row r="6" spans="1:14" s="32" customFormat="1" ht="45.6" customHeight="1">
      <c r="A6" s="41">
        <v>2</v>
      </c>
      <c r="B6" s="54" t="s">
        <v>4</v>
      </c>
      <c r="C6" s="5">
        <v>500000</v>
      </c>
      <c r="D6" s="42" t="s">
        <v>30</v>
      </c>
      <c r="E6" s="28">
        <v>43188</v>
      </c>
      <c r="F6" s="8">
        <v>43529</v>
      </c>
      <c r="G6" s="28">
        <v>43188</v>
      </c>
      <c r="H6" s="28">
        <v>43188</v>
      </c>
      <c r="I6" s="8">
        <v>43529</v>
      </c>
      <c r="J6" s="43">
        <f t="shared" ref="J6:J20" si="0">I6-H6</f>
        <v>341</v>
      </c>
      <c r="K6" s="7">
        <v>6.6499199999999998</v>
      </c>
      <c r="L6" s="13">
        <f>C6*K6%/360*J6</f>
        <v>31494.76</v>
      </c>
      <c r="M6" s="13">
        <f>L6*0.6</f>
        <v>18896.86</v>
      </c>
      <c r="N6" s="13">
        <f>L6*0.4</f>
        <v>12597.9</v>
      </c>
    </row>
    <row r="7" spans="1:14" s="32" customFormat="1" ht="45.6" customHeight="1">
      <c r="A7" s="41">
        <v>3</v>
      </c>
      <c r="B7" s="54" t="s">
        <v>6</v>
      </c>
      <c r="C7" s="6">
        <v>200000</v>
      </c>
      <c r="D7" s="42" t="s">
        <v>30</v>
      </c>
      <c r="E7" s="8">
        <v>42814</v>
      </c>
      <c r="F7" s="8">
        <v>43179</v>
      </c>
      <c r="G7" s="8">
        <v>42814</v>
      </c>
      <c r="H7" s="8">
        <v>42814</v>
      </c>
      <c r="I7" s="8">
        <v>43179</v>
      </c>
      <c r="J7" s="43">
        <f t="shared" si="0"/>
        <v>365</v>
      </c>
      <c r="K7" s="7">
        <v>6.6499199999999998</v>
      </c>
      <c r="L7" s="13">
        <f t="shared" ref="L7:L18" si="1">C7*K7%/360*J7</f>
        <v>13484.56</v>
      </c>
      <c r="M7" s="13">
        <f>L7*0.6</f>
        <v>8090.74</v>
      </c>
      <c r="N7" s="13">
        <f>L7*0.4</f>
        <v>5393.82</v>
      </c>
    </row>
    <row r="8" spans="1:14" s="32" customFormat="1" ht="45.6" customHeight="1">
      <c r="A8" s="41"/>
      <c r="B8" s="54" t="s">
        <v>6</v>
      </c>
      <c r="C8" s="6">
        <v>200000</v>
      </c>
      <c r="D8" s="42" t="s">
        <v>30</v>
      </c>
      <c r="E8" s="8">
        <v>43180</v>
      </c>
      <c r="F8" s="8">
        <v>43544</v>
      </c>
      <c r="G8" s="8">
        <v>43180</v>
      </c>
      <c r="H8" s="8">
        <v>43180</v>
      </c>
      <c r="I8" s="8">
        <v>43544</v>
      </c>
      <c r="J8" s="43">
        <f t="shared" si="0"/>
        <v>364</v>
      </c>
      <c r="K8" s="7">
        <v>6.6499199999999998</v>
      </c>
      <c r="L8" s="13">
        <f t="shared" si="1"/>
        <v>13447.62</v>
      </c>
      <c r="M8" s="13"/>
      <c r="N8" s="13"/>
    </row>
    <row r="9" spans="1:14" s="32" customFormat="1" ht="45.6" customHeight="1">
      <c r="A9" s="41"/>
      <c r="B9" s="54" t="s">
        <v>7</v>
      </c>
      <c r="C9" s="26">
        <v>100000</v>
      </c>
      <c r="D9" s="42" t="s">
        <v>30</v>
      </c>
      <c r="E9" s="8">
        <v>43060</v>
      </c>
      <c r="F9" s="8">
        <v>43425</v>
      </c>
      <c r="G9" s="8">
        <v>43060</v>
      </c>
      <c r="H9" s="8">
        <v>43060</v>
      </c>
      <c r="I9" s="8">
        <v>43425</v>
      </c>
      <c r="J9" s="43">
        <f t="shared" si="0"/>
        <v>365</v>
      </c>
      <c r="K9" s="7">
        <v>6.6499199999999998</v>
      </c>
      <c r="L9" s="13">
        <f t="shared" si="1"/>
        <v>6742.28</v>
      </c>
      <c r="M9" s="13"/>
      <c r="N9" s="13"/>
    </row>
    <row r="10" spans="1:14" s="32" customFormat="1" ht="45.6" customHeight="1">
      <c r="A10" s="41"/>
      <c r="B10" s="54" t="s">
        <v>7</v>
      </c>
      <c r="C10" s="26">
        <v>100000</v>
      </c>
      <c r="D10" s="42" t="s">
        <v>30</v>
      </c>
      <c r="E10" s="8">
        <v>43426</v>
      </c>
      <c r="F10" s="8">
        <v>43584</v>
      </c>
      <c r="G10" s="8">
        <v>43426</v>
      </c>
      <c r="H10" s="8">
        <v>43426</v>
      </c>
      <c r="I10" s="8">
        <v>43584</v>
      </c>
      <c r="J10" s="43">
        <f t="shared" si="0"/>
        <v>158</v>
      </c>
      <c r="K10" s="7">
        <v>6.6499199999999998</v>
      </c>
      <c r="L10" s="13">
        <f t="shared" si="1"/>
        <v>2918.58</v>
      </c>
      <c r="M10" s="13"/>
      <c r="N10" s="13"/>
    </row>
    <row r="11" spans="1:14" s="32" customFormat="1" ht="45.6" customHeight="1">
      <c r="A11" s="41"/>
      <c r="B11" s="54" t="s">
        <v>8</v>
      </c>
      <c r="C11" s="26">
        <v>100000</v>
      </c>
      <c r="D11" s="42" t="s">
        <v>30</v>
      </c>
      <c r="E11" s="8">
        <v>42815</v>
      </c>
      <c r="F11" s="8">
        <v>43180</v>
      </c>
      <c r="G11" s="8">
        <v>42815</v>
      </c>
      <c r="H11" s="8">
        <v>42815</v>
      </c>
      <c r="I11" s="8">
        <v>43180</v>
      </c>
      <c r="J11" s="43">
        <f t="shared" si="0"/>
        <v>365</v>
      </c>
      <c r="K11" s="7">
        <v>6.6499199999999998</v>
      </c>
      <c r="L11" s="13">
        <f t="shared" si="1"/>
        <v>6742.28</v>
      </c>
      <c r="M11" s="13"/>
      <c r="N11" s="13"/>
    </row>
    <row r="12" spans="1:14" s="32" customFormat="1" ht="45.6" customHeight="1">
      <c r="A12" s="41"/>
      <c r="B12" s="54" t="s">
        <v>8</v>
      </c>
      <c r="C12" s="26">
        <v>100000</v>
      </c>
      <c r="D12" s="42" t="s">
        <v>30</v>
      </c>
      <c r="E12" s="8">
        <v>43181</v>
      </c>
      <c r="F12" s="8">
        <v>43593</v>
      </c>
      <c r="G12" s="8">
        <v>43181</v>
      </c>
      <c r="H12" s="8">
        <v>43181</v>
      </c>
      <c r="I12" s="8">
        <v>43593</v>
      </c>
      <c r="J12" s="43">
        <f>I12-H12</f>
        <v>412</v>
      </c>
      <c r="K12" s="7">
        <v>6.6499199999999998</v>
      </c>
      <c r="L12" s="13">
        <f t="shared" si="1"/>
        <v>7610.46</v>
      </c>
      <c r="M12" s="13"/>
      <c r="N12" s="13"/>
    </row>
    <row r="13" spans="1:14" s="32" customFormat="1" ht="45.6" customHeight="1">
      <c r="A13" s="41"/>
      <c r="B13" s="54" t="s">
        <v>10</v>
      </c>
      <c r="C13" s="26">
        <v>100000</v>
      </c>
      <c r="D13" s="42" t="s">
        <v>30</v>
      </c>
      <c r="E13" s="8">
        <v>42964</v>
      </c>
      <c r="F13" s="8">
        <v>43329</v>
      </c>
      <c r="G13" s="8">
        <v>42964</v>
      </c>
      <c r="H13" s="8">
        <v>42964</v>
      </c>
      <c r="I13" s="8">
        <v>43329</v>
      </c>
      <c r="J13" s="43">
        <f t="shared" si="0"/>
        <v>365</v>
      </c>
      <c r="K13" s="7">
        <v>6.6499199999999998</v>
      </c>
      <c r="L13" s="13">
        <f t="shared" si="1"/>
        <v>6742.28</v>
      </c>
      <c r="M13" s="13"/>
      <c r="N13" s="13"/>
    </row>
    <row r="14" spans="1:14" s="32" customFormat="1" ht="45.6" customHeight="1">
      <c r="A14" s="41"/>
      <c r="B14" s="54" t="s">
        <v>10</v>
      </c>
      <c r="C14" s="26">
        <v>100000</v>
      </c>
      <c r="D14" s="42" t="s">
        <v>30</v>
      </c>
      <c r="E14" s="28">
        <v>43329</v>
      </c>
      <c r="F14" s="8">
        <v>43655</v>
      </c>
      <c r="G14" s="28">
        <v>43329</v>
      </c>
      <c r="H14" s="28">
        <v>43330</v>
      </c>
      <c r="I14" s="8">
        <v>43403</v>
      </c>
      <c r="J14" s="43">
        <f t="shared" si="0"/>
        <v>73</v>
      </c>
      <c r="K14" s="7">
        <v>6.6499199999999998</v>
      </c>
      <c r="L14" s="13">
        <f t="shared" si="1"/>
        <v>1348.46</v>
      </c>
      <c r="M14" s="13"/>
      <c r="N14" s="13"/>
    </row>
    <row r="15" spans="1:14" s="32" customFormat="1" ht="45.6" customHeight="1">
      <c r="A15" s="41"/>
      <c r="B15" s="54" t="s">
        <v>5</v>
      </c>
      <c r="C15" s="26">
        <v>100000</v>
      </c>
      <c r="D15" s="42" t="s">
        <v>30</v>
      </c>
      <c r="E15" s="8">
        <v>42963</v>
      </c>
      <c r="F15" s="8">
        <v>43328</v>
      </c>
      <c r="G15" s="8">
        <v>42963</v>
      </c>
      <c r="H15" s="8">
        <v>42963</v>
      </c>
      <c r="I15" s="8">
        <v>43328</v>
      </c>
      <c r="J15" s="43">
        <f t="shared" si="0"/>
        <v>365</v>
      </c>
      <c r="K15" s="7">
        <v>6.6499199999999998</v>
      </c>
      <c r="L15" s="13">
        <f t="shared" si="1"/>
        <v>6742.28</v>
      </c>
      <c r="M15" s="13"/>
      <c r="N15" s="13"/>
    </row>
    <row r="16" spans="1:14" s="32" customFormat="1" ht="45.6" customHeight="1">
      <c r="A16" s="41"/>
      <c r="B16" s="54" t="s">
        <v>5</v>
      </c>
      <c r="C16" s="26">
        <v>100000</v>
      </c>
      <c r="D16" s="42" t="s">
        <v>30</v>
      </c>
      <c r="E16" s="8">
        <v>43329</v>
      </c>
      <c r="F16" s="8">
        <v>43693</v>
      </c>
      <c r="G16" s="8">
        <v>43329</v>
      </c>
      <c r="H16" s="8">
        <v>43329</v>
      </c>
      <c r="I16" s="8">
        <v>43693</v>
      </c>
      <c r="J16" s="43">
        <f t="shared" si="0"/>
        <v>364</v>
      </c>
      <c r="K16" s="7">
        <v>6.6499199999999998</v>
      </c>
      <c r="L16" s="13">
        <f t="shared" si="1"/>
        <v>6723.81</v>
      </c>
      <c r="M16" s="13"/>
      <c r="N16" s="13"/>
    </row>
    <row r="17" spans="1:14" s="32" customFormat="1" ht="45.6" customHeight="1">
      <c r="A17" s="41"/>
      <c r="B17" s="54" t="s">
        <v>11</v>
      </c>
      <c r="C17" s="6">
        <v>100000</v>
      </c>
      <c r="D17" s="42" t="s">
        <v>30</v>
      </c>
      <c r="E17" s="8">
        <v>42758</v>
      </c>
      <c r="F17" s="8">
        <v>43123</v>
      </c>
      <c r="G17" s="8">
        <v>42758</v>
      </c>
      <c r="H17" s="8">
        <v>42758</v>
      </c>
      <c r="I17" s="8">
        <v>43123</v>
      </c>
      <c r="J17" s="43">
        <f t="shared" si="0"/>
        <v>365</v>
      </c>
      <c r="K17" s="7">
        <v>6.6499199999999998</v>
      </c>
      <c r="L17" s="13">
        <f t="shared" si="1"/>
        <v>6742.28</v>
      </c>
      <c r="M17" s="13"/>
      <c r="N17" s="13"/>
    </row>
    <row r="18" spans="1:14" s="32" customFormat="1" ht="45.6" customHeight="1">
      <c r="A18" s="41"/>
      <c r="B18" s="54" t="s">
        <v>11</v>
      </c>
      <c r="C18" s="6">
        <v>100000</v>
      </c>
      <c r="D18" s="42" t="s">
        <v>30</v>
      </c>
      <c r="E18" s="8">
        <v>43124</v>
      </c>
      <c r="F18" s="8">
        <v>43488</v>
      </c>
      <c r="G18" s="8">
        <v>43124</v>
      </c>
      <c r="H18" s="8">
        <v>43124</v>
      </c>
      <c r="I18" s="8">
        <v>43488</v>
      </c>
      <c r="J18" s="43">
        <f>I18-H18</f>
        <v>364</v>
      </c>
      <c r="K18" s="7">
        <v>6.6499199999999998</v>
      </c>
      <c r="L18" s="13">
        <f t="shared" si="1"/>
        <v>6723.81</v>
      </c>
      <c r="M18" s="13"/>
      <c r="N18" s="13"/>
    </row>
    <row r="19" spans="1:14" s="32" customFormat="1" ht="45.6" customHeight="1">
      <c r="A19" s="41"/>
      <c r="B19" s="54" t="s">
        <v>11</v>
      </c>
      <c r="C19" s="6">
        <v>100000</v>
      </c>
      <c r="D19" s="42" t="s">
        <v>30</v>
      </c>
      <c r="E19" s="28">
        <v>43124</v>
      </c>
      <c r="F19" s="28">
        <v>43381</v>
      </c>
      <c r="G19" s="28">
        <v>43124</v>
      </c>
      <c r="H19" s="28">
        <v>43489</v>
      </c>
      <c r="I19" s="28">
        <v>43614</v>
      </c>
      <c r="J19" s="43">
        <f t="shared" si="0"/>
        <v>125</v>
      </c>
      <c r="K19" s="7">
        <v>6.6499199999999998</v>
      </c>
      <c r="L19" s="13">
        <f>C19*K19%/360*J19</f>
        <v>2309</v>
      </c>
      <c r="M19" s="13"/>
      <c r="N19" s="13"/>
    </row>
    <row r="20" spans="1:14" s="32" customFormat="1" ht="45.6" customHeight="1">
      <c r="A20" s="41">
        <v>8</v>
      </c>
      <c r="B20" s="55" t="s">
        <v>9</v>
      </c>
      <c r="C20" s="27">
        <v>100000</v>
      </c>
      <c r="D20" s="42" t="s">
        <v>30</v>
      </c>
      <c r="E20" s="8">
        <v>43292</v>
      </c>
      <c r="F20" s="8">
        <v>43732</v>
      </c>
      <c r="G20" s="8">
        <v>43292</v>
      </c>
      <c r="H20" s="8">
        <v>43292</v>
      </c>
      <c r="I20" s="8">
        <v>43732</v>
      </c>
      <c r="J20" s="43">
        <f t="shared" si="0"/>
        <v>440</v>
      </c>
      <c r="K20" s="7">
        <v>6.6499199999999998</v>
      </c>
      <c r="L20" s="13">
        <f>C20*K20%/360*J20</f>
        <v>8127.68</v>
      </c>
      <c r="M20" s="13">
        <f>L20*0.6</f>
        <v>4876.6099999999997</v>
      </c>
      <c r="N20" s="13">
        <f>L20*0.4</f>
        <v>3251.07</v>
      </c>
    </row>
    <row r="21" spans="1:14" s="40" customFormat="1" ht="45.95" customHeight="1">
      <c r="A21" s="44" t="s">
        <v>31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5">
        <f>SUM(L5:L20)</f>
        <v>161611.54</v>
      </c>
      <c r="M21" s="46">
        <f>SUM(M5:M20)</f>
        <v>52091.05</v>
      </c>
      <c r="N21" s="47">
        <f>SUM(N5:N20)</f>
        <v>34727.35</v>
      </c>
    </row>
    <row r="22" spans="1:14" s="49" customFormat="1" ht="72.75" customHeight="1">
      <c r="A22" s="144" t="s">
        <v>32</v>
      </c>
      <c r="B22" s="144"/>
      <c r="C22" s="48"/>
      <c r="D22" s="145" t="s">
        <v>33</v>
      </c>
      <c r="E22" s="145"/>
      <c r="F22" s="145"/>
      <c r="G22" s="145"/>
      <c r="H22" s="144" t="s">
        <v>34</v>
      </c>
      <c r="I22" s="144"/>
      <c r="J22" s="144"/>
      <c r="K22" s="144"/>
      <c r="L22" s="144"/>
      <c r="M22" s="144"/>
      <c r="N22" s="144"/>
    </row>
  </sheetData>
  <mergeCells count="6">
    <mergeCell ref="A1:N1"/>
    <mergeCell ref="A2:I2"/>
    <mergeCell ref="A3:I3"/>
    <mergeCell ref="A22:B22"/>
    <mergeCell ref="D22:G22"/>
    <mergeCell ref="H22:N22"/>
  </mergeCells>
  <phoneticPr fontId="3" type="noConversion"/>
  <dataValidations count="1">
    <dataValidation operator="equal" allowBlank="1" showInputMessage="1" showErrorMessage="1" sqref="C20"/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邮储</vt:lpstr>
      <vt:lpstr>农商行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2019-11-26T06:16:54Z</cp:lastPrinted>
  <dcterms:created xsi:type="dcterms:W3CDTF">1996-12-17T01:32:42Z</dcterms:created>
  <dcterms:modified xsi:type="dcterms:W3CDTF">2020-07-22T06:22:39Z</dcterms:modified>
</cp:coreProperties>
</file>